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tables/table7.xml" ContentType="application/vnd.openxmlformats-officedocument.spreadsheetml.table+xml"/>
  <Override PartName="/xl/comments7.xml" ContentType="application/vnd.openxmlformats-officedocument.spreadsheetml.comments+xml"/>
  <Override PartName="/xl/drawings/drawing9.xml" ContentType="application/vnd.openxmlformats-officedocument.drawing+xml"/>
  <Override PartName="/xl/tables/table8.xml" ContentType="application/vnd.openxmlformats-officedocument.spreadsheetml.table+xml"/>
  <Override PartName="/xl/comments8.xml" ContentType="application/vnd.openxmlformats-officedocument.spreadsheetml.comments+xml"/>
  <Override PartName="/xl/drawings/drawing10.xml" ContentType="application/vnd.openxmlformats-officedocument.drawing+xml"/>
  <Override PartName="/xl/tables/table9.xml" ContentType="application/vnd.openxmlformats-officedocument.spreadsheetml.table+xml"/>
  <Override PartName="/xl/comments9.xml" ContentType="application/vnd.openxmlformats-officedocument.spreadsheetml.comments+xml"/>
  <Override PartName="/xl/drawings/drawing11.xml" ContentType="application/vnd.openxmlformats-officedocument.drawing+xml"/>
  <Override PartName="/xl/tables/table10.xml" ContentType="application/vnd.openxmlformats-officedocument.spreadsheetml.table+xml"/>
  <Override PartName="/xl/comments10.xml" ContentType="application/vnd.openxmlformats-officedocument.spreadsheetml.comments+xml"/>
  <Override PartName="/xl/drawings/drawing12.xml" ContentType="application/vnd.openxmlformats-officedocument.drawing+xml"/>
  <Override PartName="/xl/tables/table11.xml" ContentType="application/vnd.openxmlformats-officedocument.spreadsheetml.table+xml"/>
  <Override PartName="/xl/comments11.xml" ContentType="application/vnd.openxmlformats-officedocument.spreadsheetml.comments+xml"/>
  <Override PartName="/xl/drawings/drawing13.xml" ContentType="application/vnd.openxmlformats-officedocument.drawing+xml"/>
  <Override PartName="/xl/tables/table12.xml" ContentType="application/vnd.openxmlformats-officedocument.spreadsheetml.table+xml"/>
  <Override PartName="/xl/comments12.xml" ContentType="application/vnd.openxmlformats-officedocument.spreadsheetml.comments+xml"/>
  <Override PartName="/xl/drawings/drawing14.xml" ContentType="application/vnd.openxmlformats-officedocument.drawing+xml"/>
  <Override PartName="/xl/tables/table13.xml" ContentType="application/vnd.openxmlformats-officedocument.spreadsheetml.table+xml"/>
  <Override PartName="/xl/comments13.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hidePivotFieldList="1"/>
  <mc:AlternateContent xmlns:mc="http://schemas.openxmlformats.org/markup-compatibility/2006">
    <mc:Choice Requires="x15">
      <x15ac:absPath xmlns:x15ac="http://schemas.microsoft.com/office/spreadsheetml/2010/11/ac" url="D:\CopieSecuriteDavidRenauld\Teluq_Suivi\ChargeProjet\EDU6040_Excel_Évaluation_Compétence\EDU6046Traitement\"/>
    </mc:Choice>
  </mc:AlternateContent>
  <xr:revisionPtr revIDLastSave="0" documentId="13_ncr:1_{4C88F4C2-4A86-467C-B4CC-C5BB7A57F6AC}" xr6:coauthVersionLast="47" xr6:coauthVersionMax="47" xr10:uidLastSave="{00000000-0000-0000-0000-000000000000}"/>
  <workbookProtection workbookAlgorithmName="SHA-512" workbookHashValue="PmNl/FEP78pG1KS9K5ZmIBXCt3lIv2+0gNEcG2JtBrKdj3gZ04tSGThLzaJDo5Dencz8V131URcwWTX1rJZ37Q==" workbookSaltValue="/+YJ9skx+T0eADMcLxSLEQ==" workbookSpinCount="100000" lockStructure="1"/>
  <bookViews>
    <workbookView xWindow="-108" yWindow="-108" windowWidth="30936" windowHeight="16896" tabRatio="677" xr2:uid="{00000000-000D-0000-FFFF-FFFF00000000}"/>
  </bookViews>
  <sheets>
    <sheet name="Présentation" sheetId="1" r:id="rId1"/>
    <sheet name="C 1" sheetId="7" r:id="rId2"/>
    <sheet name="C 2" sheetId="23" r:id="rId3"/>
    <sheet name="C 3" sheetId="24" r:id="rId4"/>
    <sheet name="C 4" sheetId="25" r:id="rId5"/>
    <sheet name="C 5" sheetId="26" r:id="rId6"/>
    <sheet name="C 6" sheetId="27" r:id="rId7"/>
    <sheet name="C 7" sheetId="29" r:id="rId8"/>
    <sheet name="C 8" sheetId="30" r:id="rId9"/>
    <sheet name="C 9" sheetId="31" r:id="rId10"/>
    <sheet name="C 10" sheetId="32" r:id="rId11"/>
    <sheet name="C 11" sheetId="33" r:id="rId12"/>
    <sheet name="C 12" sheetId="28" r:id="rId13"/>
    <sheet name="C 13" sheetId="34" r:id="rId14"/>
    <sheet name="Bilan formatif" sheetId="38" r:id="rId15"/>
    <sheet name="Bilan sommatif" sheetId="39" r:id="rId16"/>
    <sheet name="Bilan formatif-sommatif" sheetId="37" r:id="rId17"/>
    <sheet name="Feuil_M" sheetId="20" state="hidden" r:id="rId18"/>
  </sheets>
  <definedNames>
    <definedName name="BPSRE">#REF!</definedName>
    <definedName name="BPSS">#REF!</definedName>
    <definedName name="BPSSRE">#REF!</definedName>
    <definedName name="BSCE">#REF!</definedName>
    <definedName name="BSÉtudiant">#REF!</definedName>
    <definedName name="BSEtudiantCE">#REF!</definedName>
    <definedName name="BSgraph">CHOOSE(#REF!,BSÉtudiant,BSCE,BSEtudiantCE)</definedName>
    <definedName name="chart_personne_bilan" localSheetId="14">IF(trigger="Pers.enseignante_Formatif",Pers.enseignante_Formatif,IF(trigger="Pers.enseignante_Sommatif",Pers.enseignante_Sommatif,IF(trigger="Resp.encadrement_Formatif",Resp.encadrement_Formatif,Resp.encadrement_Sommatif)))</definedName>
    <definedName name="chart_personne_bilan" localSheetId="15">IF(trigger="Pers.enseignante_Formatif",Pers.enseignante_Formatif,IF(trigger="Pers.enseignante_Sommatif",Pers.enseignante_Sommatif,IF(trigger="Resp.encadrement_Formatif",Resp.encadrement_Formatif,Resp.encadrement_Sommatif)))</definedName>
    <definedName name="chart_personne_bilan">IF(trigger="Pers.enseignante_Formatif",Pers.enseignante_Formatif,IF(trigger="Pers.enseignante_Sommatif",Pers.enseignante_Sommatif,IF(trigger="Resp.encadrement_Formatif",Resp.encadrement_Formatif,Resp.encadrement_Sommatif)))</definedName>
    <definedName name="chart_personne_bilan2">IF(trigger="Pers.enseignante_Formatif",Pers.enseignante_Formatif,IF(trigger="Pers.enseignante_Sommatif",Pers.enseignante_Sommatif,IF(trigger="Resp.encadrement_Formatif",Resp.encadrement_Formatif,Resp.encadrement_Sommatif)))</definedName>
    <definedName name="Éudiant">#REF!</definedName>
    <definedName name="Évolution">CHOOSE(#REF!,BSÉtudiant,BSCE,BSEtudiantCE,Évolution1,Évolution2)</definedName>
    <definedName name="Évolution1">#REF!</definedName>
    <definedName name="Évolution2">#REF!</definedName>
    <definedName name="Évolutiongraphique">#REF!</definedName>
    <definedName name="ÉvolutionPS" localSheetId="14">CHOOSE(PSEtudiant,PSCE,PSEtudiantCE)</definedName>
    <definedName name="ÉvolutionPS" localSheetId="15">CHOOSE(PSEtudiant,PSCE,PSEtudiantCE)</definedName>
    <definedName name="ÉvolutionPS">CHOOSE(PSEtudiant,PSCE,PSEtudiantCE)</definedName>
    <definedName name="ÉvolutionPS1" localSheetId="14">CHOOSE(BilanPSS,BilanPSRE,PSEtudiantCE)</definedName>
    <definedName name="ÉvolutionPS1" localSheetId="15">CHOOSE(BilanPSS,BilanPSRE,PSEtudiantCE)</definedName>
    <definedName name="ÉvolutionPS1">CHOOSE(BilanPSS,BilanPSRE,PSEtudiantCE)</definedName>
    <definedName name="ÉvolutionPS2">CHOOSE(PSEtudiant,PSCE,PSEtudiantCE)</definedName>
    <definedName name="ÉvolutionPS3">CHOOSE(BilanPSS,BilanPSRE,PSEtudiantCE)</definedName>
    <definedName name="Graph">CHOOSE(BPSS,BPSRE,BPSSRE)</definedName>
    <definedName name="graphinter">CHOOSE(BPSS,BPSRE,BPSSRE)</definedName>
    <definedName name="Listegraph">#REF!</definedName>
    <definedName name="nrFormatif_Encadrement" localSheetId="14">tblBilanFormatifSommatif[[Pers.encadrement Formatif F]:[Pers.encadrement Formatif T]]</definedName>
    <definedName name="nrFormatif_Encadrement" localSheetId="15">tblBilanFormatifSommatif[[Pers.encadrement Formatif F]:[Pers.encadrement Formatif T]]</definedName>
    <definedName name="nrFormatif_Encadrement">tblBilanFormatifSommatif[[Pers.encadrement Formatif F]:[Pers.encadrement Formatif T]]</definedName>
    <definedName name="nrFormatif_Encadrement2">tblBilanFormatifSommatif[[Pers.encadrement Formatif F]:[Pers.encadrement Formatif T]]</definedName>
    <definedName name="nrFormatif_Stagiaire" localSheetId="14">tblBilanFormatifSommatif[[Pers.enseignante Formatif F]:[Pers.enseignante Formatif T]]</definedName>
    <definedName name="nrFormatif_Stagiaire" localSheetId="15">tblBilanFormatifSommatif[[Pers.enseignante Formatif F]:[Pers.enseignante Formatif T]]</definedName>
    <definedName name="nrFormatif_Stagiaire">tblBilanFormatifSommatif[[Pers.enseignante Formatif F]:[Pers.enseignante Formatif T]]</definedName>
    <definedName name="nrFormatif_Stagiaire2">tblBilanFormatifSommatif[[Pers.enseignante Formatif F]:[Pers.enseignante Formatif T]]</definedName>
    <definedName name="nrSommatif_Encadrement" localSheetId="14">tblBilanFormatifSommatif[[Pers.encadrement Sommatif F]:[Pers.encadrement Sommatif T]]</definedName>
    <definedName name="nrSommatif_Encadrement" localSheetId="15">tblBilanFormatifSommatif[[Pers.encadrement Sommatif F]:[Pers.encadrement Sommatif T]]</definedName>
    <definedName name="nrSommatif_Encadrement">tblBilanFormatifSommatif[[Pers.encadrement Sommatif F]:[Pers.encadrement Sommatif T]]</definedName>
    <definedName name="nrSommatif_Encadrement2">tblBilanFormatifSommatif[[Pers.encadrement Sommatif F]:[Pers.encadrement Sommatif T]]</definedName>
    <definedName name="nrSommatif_Stagiaire" localSheetId="14">tblBilanFormatifSommatif[[Pers.enseignante Sommatif F]:[Pers.enseignante Sommatif T]]</definedName>
    <definedName name="nrSommatif_Stagiaire" localSheetId="15">tblBilanFormatifSommatif[[Pers.enseignante Sommatif F]:[Pers.enseignante Sommatif T]]</definedName>
    <definedName name="nrSommatif_Stagiaire">tblBilanFormatifSommatif[[Pers.enseignante Sommatif F]:[Pers.enseignante Sommatif T]]</definedName>
    <definedName name="nrSommatif_Stagiaire2">tblBilanFormatifSommatif[[Pers.enseignante Sommatif F]:[Pers.enseignante Sommatif T]]</definedName>
    <definedName name="nrTrigger">Feuil_M!#REF!</definedName>
    <definedName name="RégionTitreColonne4..B19.1" localSheetId="14">'Bilan formatif'!#REF!</definedName>
    <definedName name="RégionTitreColonne4..B19.1" localSheetId="15">'Bilan sommatif'!#REF!</definedName>
    <definedName name="RégionTitreColonne4..B19.1">Présentation!$B$12</definedName>
    <definedName name="Segment___Compétences">#N/A</definedName>
    <definedName name="Segment_Groupe">#N/A</definedName>
    <definedName name="_xlnm.Print_Area" localSheetId="14">'Bilan formatif'!$A$1:$J$31</definedName>
    <definedName name="_xlnm.Print_Area" localSheetId="15">'Bilan sommatif'!$A$1:$J$31</definedName>
    <definedName name="_xlnm.Print_Area" localSheetId="0">Présentation!$A$1:$K$46</definedName>
    <definedName name="ZoneTitreColonne1..B11.1" localSheetId="14">'Bilan formatif'!#REF!</definedName>
    <definedName name="ZoneTitreColonne1..B11.1" localSheetId="15">'Bilan sommatif'!#REF!</definedName>
    <definedName name="ZoneTitreColonne1..B11.1">Présentation!$B$9</definedName>
    <definedName name="ZoneTitreLigne1..C9" localSheetId="14">'Bilan formatif'!#REF!</definedName>
    <definedName name="ZoneTitreLigne1..C9" localSheetId="15">'Bilan sommatif'!#REF!</definedName>
    <definedName name="ZoneTitreLigne1..C9">Présentation!$B$5</definedName>
    <definedName name="ZoneTitreLigne2..F9" localSheetId="14">'Bilan formatif'!#REF!</definedName>
    <definedName name="ZoneTitreLigne2..F9" localSheetId="15">'Bilan sommatif'!#REF!</definedName>
    <definedName name="ZoneTitreLigne2..F9">Présentation!$D$5</definedName>
  </definedNames>
  <calcPr calcId="191028"/>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9"/>
        <x14:slicerCache r:id="rId20"/>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3" i="20" l="1"/>
  <c r="AD44" i="20"/>
  <c r="AD45" i="20"/>
  <c r="AD46" i="20"/>
  <c r="AD47" i="20"/>
  <c r="AD48" i="20"/>
  <c r="AD49" i="20"/>
  <c r="AD50" i="20"/>
  <c r="AD51" i="20"/>
  <c r="AD52" i="20"/>
  <c r="AD54" i="20"/>
  <c r="AD55" i="20"/>
  <c r="AC43" i="20"/>
  <c r="AC44" i="20"/>
  <c r="AC45" i="20"/>
  <c r="AC46" i="20"/>
  <c r="AC47" i="20"/>
  <c r="AC48" i="20"/>
  <c r="AC49" i="20"/>
  <c r="AC50" i="20"/>
  <c r="AC53" i="20"/>
  <c r="AC54" i="20"/>
  <c r="AC55" i="20"/>
  <c r="AB43" i="20"/>
  <c r="AB44" i="20"/>
  <c r="AB51" i="20"/>
  <c r="AB52" i="20"/>
  <c r="AB53" i="20"/>
  <c r="AB54" i="20"/>
  <c r="AB55" i="20"/>
  <c r="Z43" i="20"/>
  <c r="Z44" i="20"/>
  <c r="Z45" i="20"/>
  <c r="Z46" i="20"/>
  <c r="Z47" i="20"/>
  <c r="Z48" i="20"/>
  <c r="Z49" i="20"/>
  <c r="Z50" i="20"/>
  <c r="Z51" i="20"/>
  <c r="Z52" i="20"/>
  <c r="Z53" i="20"/>
  <c r="Y43" i="20"/>
  <c r="Y44" i="20"/>
  <c r="Y45" i="20"/>
  <c r="Y46" i="20"/>
  <c r="Y47" i="20"/>
  <c r="Y48" i="20"/>
  <c r="Y49" i="20"/>
  <c r="Y50" i="20"/>
  <c r="Y51" i="20"/>
  <c r="Y52" i="20"/>
  <c r="Y54" i="20"/>
  <c r="Y55" i="20"/>
  <c r="X43" i="20"/>
  <c r="X44" i="20"/>
  <c r="X45" i="20"/>
  <c r="X46" i="20"/>
  <c r="X47" i="20"/>
  <c r="X48" i="20"/>
  <c r="X49" i="20"/>
  <c r="X50" i="20"/>
  <c r="X53" i="20"/>
  <c r="X54" i="20"/>
  <c r="X55" i="20"/>
  <c r="W43" i="20"/>
  <c r="W44" i="20"/>
  <c r="W51" i="20"/>
  <c r="W52" i="20"/>
  <c r="W53" i="20"/>
  <c r="W54" i="20"/>
  <c r="W55" i="20"/>
  <c r="V45" i="20"/>
  <c r="V46" i="20"/>
  <c r="V47" i="20"/>
  <c r="V48" i="20"/>
  <c r="V49" i="20"/>
  <c r="V50" i="20"/>
  <c r="V51" i="20"/>
  <c r="V52" i="20"/>
  <c r="V53" i="20"/>
  <c r="V54" i="20"/>
  <c r="V55" i="20"/>
  <c r="AA45" i="20"/>
  <c r="AA46" i="20"/>
  <c r="AA47" i="20"/>
  <c r="AA48" i="20"/>
  <c r="AA49" i="20"/>
  <c r="AA50" i="20"/>
  <c r="AA51" i="20"/>
  <c r="AA52" i="20"/>
  <c r="AA53" i="20"/>
  <c r="AA54" i="20"/>
  <c r="AA55" i="20"/>
  <c r="AE43" i="20"/>
  <c r="AE44" i="20"/>
  <c r="AE45" i="20"/>
  <c r="AE46" i="20"/>
  <c r="AE47" i="20"/>
  <c r="AE48" i="20"/>
  <c r="AE49" i="20"/>
  <c r="AE50" i="20"/>
  <c r="AE51" i="20"/>
  <c r="AE52" i="20"/>
  <c r="AE53" i="20"/>
  <c r="U43" i="20"/>
  <c r="U44" i="20"/>
  <c r="U45" i="20"/>
  <c r="U46" i="20"/>
  <c r="U47" i="20"/>
  <c r="U48" i="20"/>
  <c r="U49" i="20"/>
  <c r="U50" i="20"/>
  <c r="U51" i="20"/>
  <c r="U52" i="20"/>
  <c r="U53" i="20"/>
  <c r="T43" i="20"/>
  <c r="T44" i="20"/>
  <c r="T45" i="20"/>
  <c r="T46" i="20"/>
  <c r="T47" i="20"/>
  <c r="T48" i="20"/>
  <c r="T49" i="20"/>
  <c r="T50" i="20"/>
  <c r="T51" i="20"/>
  <c r="T52" i="20"/>
  <c r="T54" i="20"/>
  <c r="T55" i="20"/>
  <c r="S43" i="20"/>
  <c r="S44" i="20"/>
  <c r="S45" i="20"/>
  <c r="S46" i="20"/>
  <c r="S47" i="20"/>
  <c r="S48" i="20"/>
  <c r="S49" i="20"/>
  <c r="S50" i="20"/>
  <c r="S53" i="20"/>
  <c r="S54" i="20"/>
  <c r="S55" i="20"/>
  <c r="R43" i="20"/>
  <c r="R44" i="20"/>
  <c r="R51" i="20"/>
  <c r="R52" i="20"/>
  <c r="R53" i="20"/>
  <c r="R54" i="20"/>
  <c r="R55" i="20"/>
  <c r="Q45" i="20"/>
  <c r="Q46" i="20"/>
  <c r="Q47" i="20"/>
  <c r="Q48" i="20"/>
  <c r="Q49" i="20"/>
  <c r="Q50" i="20"/>
  <c r="Q51" i="20"/>
  <c r="Q52" i="20"/>
  <c r="Q53" i="20"/>
  <c r="Q54" i="20"/>
  <c r="Q55" i="20"/>
  <c r="P43" i="20"/>
  <c r="P44" i="20"/>
  <c r="P45" i="20"/>
  <c r="P46" i="20"/>
  <c r="P47" i="20"/>
  <c r="P48" i="20"/>
  <c r="P49" i="20"/>
  <c r="P50" i="20"/>
  <c r="P51" i="20"/>
  <c r="P52" i="20"/>
  <c r="P53" i="20"/>
  <c r="O43" i="20"/>
  <c r="O44" i="20"/>
  <c r="O45" i="20"/>
  <c r="O46" i="20"/>
  <c r="O47" i="20"/>
  <c r="O48" i="20"/>
  <c r="O49" i="20"/>
  <c r="O50" i="20"/>
  <c r="O51" i="20"/>
  <c r="O52" i="20"/>
  <c r="O54" i="20"/>
  <c r="O55" i="20"/>
  <c r="N43" i="20"/>
  <c r="N44" i="20"/>
  <c r="N45" i="20"/>
  <c r="N46" i="20"/>
  <c r="N47" i="20"/>
  <c r="N48" i="20"/>
  <c r="N49" i="20"/>
  <c r="N50" i="20"/>
  <c r="N53" i="20"/>
  <c r="N54" i="20"/>
  <c r="N55" i="20"/>
  <c r="M43" i="20"/>
  <c r="M44" i="20"/>
  <c r="M51" i="20"/>
  <c r="M52" i="20"/>
  <c r="M53" i="20"/>
  <c r="M54" i="20"/>
  <c r="M55" i="20"/>
  <c r="L45" i="20"/>
  <c r="L46" i="20"/>
  <c r="L47" i="20"/>
  <c r="L48" i="20"/>
  <c r="L49" i="20"/>
  <c r="L50" i="20"/>
  <c r="L51" i="20"/>
  <c r="L52" i="20"/>
  <c r="L53" i="20"/>
  <c r="L54" i="20"/>
  <c r="L55" i="20"/>
  <c r="N79" i="33"/>
  <c r="J79" i="33"/>
  <c r="F79" i="33"/>
  <c r="N75" i="33"/>
  <c r="J75" i="33"/>
  <c r="F75" i="33"/>
  <c r="N71" i="33"/>
  <c r="J71" i="33"/>
  <c r="F71" i="33"/>
  <c r="N67" i="33"/>
  <c r="J67" i="33"/>
  <c r="F67" i="33"/>
  <c r="N62" i="33"/>
  <c r="J62" i="33"/>
  <c r="F62" i="33"/>
  <c r="N58" i="33"/>
  <c r="J58" i="33"/>
  <c r="F58" i="33"/>
  <c r="N54" i="33"/>
  <c r="J54" i="33"/>
  <c r="F54" i="33"/>
  <c r="N50" i="33"/>
  <c r="J50" i="33"/>
  <c r="F50" i="33"/>
  <c r="N46" i="33"/>
  <c r="J46" i="33"/>
  <c r="F46" i="33"/>
  <c r="N67" i="32"/>
  <c r="J67" i="32"/>
  <c r="F67" i="32"/>
  <c r="N63" i="32"/>
  <c r="J63" i="32"/>
  <c r="F63" i="32"/>
  <c r="N59" i="32"/>
  <c r="J59" i="32"/>
  <c r="F59" i="32"/>
  <c r="N55" i="32"/>
  <c r="J55" i="32"/>
  <c r="F55" i="32"/>
  <c r="N51" i="32"/>
  <c r="J51" i="32"/>
  <c r="F51" i="32"/>
  <c r="N47" i="32"/>
  <c r="J47" i="32"/>
  <c r="F47" i="32"/>
  <c r="N43" i="32"/>
  <c r="J43" i="32"/>
  <c r="F43" i="32"/>
  <c r="N93" i="28"/>
  <c r="N89" i="28"/>
  <c r="N85" i="28"/>
  <c r="J93" i="28"/>
  <c r="J89" i="28"/>
  <c r="J85" i="28"/>
  <c r="F93" i="28"/>
  <c r="F89" i="28"/>
  <c r="F85" i="28"/>
  <c r="N81" i="28"/>
  <c r="J81" i="28"/>
  <c r="F81" i="28"/>
  <c r="N77" i="28"/>
  <c r="J77" i="28"/>
  <c r="F77" i="28"/>
  <c r="N73" i="28"/>
  <c r="J73" i="28"/>
  <c r="F73" i="28"/>
  <c r="N69" i="28"/>
  <c r="J69" i="28"/>
  <c r="F69" i="28"/>
  <c r="N64" i="28"/>
  <c r="J64" i="28"/>
  <c r="F64" i="28"/>
  <c r="N60" i="28"/>
  <c r="J60" i="28"/>
  <c r="F60" i="28"/>
  <c r="N56" i="28"/>
  <c r="J56" i="28"/>
  <c r="F56" i="28"/>
  <c r="N52" i="28"/>
  <c r="J52" i="28"/>
  <c r="F52" i="28"/>
  <c r="N48" i="28"/>
  <c r="J48" i="28"/>
  <c r="F48" i="28"/>
  <c r="N73" i="34"/>
  <c r="J73" i="34"/>
  <c r="F73" i="34"/>
  <c r="N69" i="34"/>
  <c r="N65" i="34"/>
  <c r="N61" i="34"/>
  <c r="N57" i="34"/>
  <c r="N53" i="34"/>
  <c r="N49" i="34"/>
  <c r="N45" i="34"/>
  <c r="N79" i="30"/>
  <c r="J79" i="30"/>
  <c r="N75" i="30"/>
  <c r="N71" i="30"/>
  <c r="J75" i="30"/>
  <c r="J71" i="30"/>
  <c r="F79" i="30"/>
  <c r="F75" i="30"/>
  <c r="F71" i="30"/>
  <c r="N71" i="31"/>
  <c r="N67" i="31"/>
  <c r="N63" i="31"/>
  <c r="N59" i="31"/>
  <c r="N55" i="31"/>
  <c r="N51" i="31"/>
  <c r="N47" i="31"/>
  <c r="N43" i="31"/>
  <c r="J71" i="31"/>
  <c r="J67" i="31"/>
  <c r="J63" i="31"/>
  <c r="J59" i="31"/>
  <c r="J55" i="31"/>
  <c r="J51" i="31"/>
  <c r="J47" i="31"/>
  <c r="J43" i="31"/>
  <c r="F71" i="31"/>
  <c r="F67" i="31"/>
  <c r="F63" i="31"/>
  <c r="F59" i="31"/>
  <c r="F55" i="31"/>
  <c r="F51" i="31"/>
  <c r="F47" i="31"/>
  <c r="F43" i="31"/>
  <c r="N73" i="29"/>
  <c r="N69" i="29"/>
  <c r="N65" i="29"/>
  <c r="N61" i="29"/>
  <c r="N57" i="29"/>
  <c r="N53" i="29"/>
  <c r="N49" i="29"/>
  <c r="N45" i="29"/>
  <c r="N78" i="27"/>
  <c r="N74" i="27"/>
  <c r="N70" i="27"/>
  <c r="N66" i="27"/>
  <c r="N62" i="27"/>
  <c r="N58" i="27"/>
  <c r="N54" i="27"/>
  <c r="N50" i="27"/>
  <c r="N46" i="27"/>
  <c r="N81" i="26"/>
  <c r="N75" i="26"/>
  <c r="N70" i="26"/>
  <c r="N66" i="26"/>
  <c r="N61" i="26"/>
  <c r="N57" i="26"/>
  <c r="N53" i="26"/>
  <c r="N49" i="26"/>
  <c r="N45" i="26"/>
  <c r="N64" i="25"/>
  <c r="N59" i="25"/>
  <c r="N54" i="25"/>
  <c r="N50" i="25"/>
  <c r="N46" i="25"/>
  <c r="N42" i="25"/>
  <c r="N87" i="24"/>
  <c r="N82" i="24"/>
  <c r="N77" i="24"/>
  <c r="N72" i="24"/>
  <c r="N67" i="24"/>
  <c r="N62" i="24"/>
  <c r="N58" i="24"/>
  <c r="N54" i="24"/>
  <c r="N50" i="24"/>
  <c r="J42" i="25"/>
  <c r="J46" i="25"/>
  <c r="J73" i="29"/>
  <c r="J69" i="29"/>
  <c r="F73" i="29"/>
  <c r="F69" i="29"/>
  <c r="F65" i="29"/>
  <c r="F61" i="29"/>
  <c r="F57" i="29"/>
  <c r="F53" i="29"/>
  <c r="F49" i="29"/>
  <c r="F45" i="29"/>
  <c r="J78" i="27"/>
  <c r="J74" i="27"/>
  <c r="J70" i="27"/>
  <c r="J66" i="27"/>
  <c r="J62" i="27"/>
  <c r="J58" i="27"/>
  <c r="J54" i="27"/>
  <c r="J50" i="27"/>
  <c r="J46" i="27"/>
  <c r="F78" i="27"/>
  <c r="F74" i="27"/>
  <c r="F70" i="27"/>
  <c r="F66" i="27"/>
  <c r="F62" i="27"/>
  <c r="F58" i="27"/>
  <c r="F54" i="27"/>
  <c r="F50" i="27"/>
  <c r="F46" i="27"/>
  <c r="F81" i="26"/>
  <c r="F75" i="26"/>
  <c r="F70" i="26"/>
  <c r="F66" i="26"/>
  <c r="F61" i="26"/>
  <c r="F57" i="26"/>
  <c r="F53" i="26"/>
  <c r="F49" i="26"/>
  <c r="F45" i="26"/>
  <c r="F64" i="25"/>
  <c r="F59" i="25"/>
  <c r="F54" i="25"/>
  <c r="F50" i="25"/>
  <c r="F46" i="25"/>
  <c r="F42" i="25"/>
  <c r="F44" i="23"/>
  <c r="F44" i="7"/>
  <c r="I36" i="34"/>
  <c r="I35" i="34"/>
  <c r="I34" i="34"/>
  <c r="I33" i="34"/>
  <c r="I32" i="34"/>
  <c r="I31" i="34"/>
  <c r="I30" i="34"/>
  <c r="I29" i="34"/>
  <c r="G36" i="34"/>
  <c r="G35" i="34"/>
  <c r="G34" i="34"/>
  <c r="G33" i="34"/>
  <c r="G32" i="34"/>
  <c r="G31" i="34"/>
  <c r="G30" i="34"/>
  <c r="G29" i="34"/>
  <c r="E36" i="34"/>
  <c r="E35" i="34"/>
  <c r="E34" i="34"/>
  <c r="E33" i="34"/>
  <c r="E32" i="34"/>
  <c r="E31" i="34"/>
  <c r="E30" i="34"/>
  <c r="E29" i="34"/>
  <c r="C36" i="34"/>
  <c r="C35" i="34"/>
  <c r="C34" i="34"/>
  <c r="C33" i="34"/>
  <c r="C32" i="34"/>
  <c r="C31" i="34"/>
  <c r="C30" i="34"/>
  <c r="C29" i="34"/>
  <c r="I40" i="28"/>
  <c r="I39" i="28"/>
  <c r="I38" i="28"/>
  <c r="I37" i="28"/>
  <c r="I36" i="28"/>
  <c r="I35" i="28"/>
  <c r="I34" i="28"/>
  <c r="I33" i="28"/>
  <c r="I32" i="28"/>
  <c r="I31" i="28"/>
  <c r="I30" i="28"/>
  <c r="I29" i="28"/>
  <c r="G40" i="28"/>
  <c r="G39" i="28"/>
  <c r="G38" i="28"/>
  <c r="G37" i="28"/>
  <c r="G36" i="28"/>
  <c r="G35" i="28"/>
  <c r="G34" i="28"/>
  <c r="G33" i="28"/>
  <c r="G32" i="28"/>
  <c r="G31" i="28"/>
  <c r="G30" i="28"/>
  <c r="G29" i="28"/>
  <c r="E40" i="28"/>
  <c r="E39" i="28"/>
  <c r="E38" i="28"/>
  <c r="E37" i="28"/>
  <c r="E36" i="28"/>
  <c r="E35" i="28"/>
  <c r="E34" i="28"/>
  <c r="E33" i="28"/>
  <c r="E32" i="28"/>
  <c r="E31" i="28"/>
  <c r="E30" i="28"/>
  <c r="E29" i="28"/>
  <c r="C40" i="28"/>
  <c r="C39" i="28"/>
  <c r="C38" i="28"/>
  <c r="C37" i="28"/>
  <c r="C36" i="28"/>
  <c r="C35" i="28"/>
  <c r="C34" i="28"/>
  <c r="C33" i="28"/>
  <c r="C32" i="28"/>
  <c r="C31" i="28"/>
  <c r="C30" i="28"/>
  <c r="C29" i="28"/>
  <c r="I37" i="33"/>
  <c r="I36" i="33"/>
  <c r="I35" i="33"/>
  <c r="I34" i="33"/>
  <c r="I33" i="33"/>
  <c r="I32" i="33"/>
  <c r="I31" i="33"/>
  <c r="I30" i="33"/>
  <c r="I29" i="33"/>
  <c r="G37" i="33"/>
  <c r="G36" i="33"/>
  <c r="G35" i="33"/>
  <c r="G34" i="33"/>
  <c r="G33" i="33"/>
  <c r="G32" i="33"/>
  <c r="G31" i="33"/>
  <c r="G30" i="33"/>
  <c r="G29" i="33"/>
  <c r="E37" i="33"/>
  <c r="E36" i="33"/>
  <c r="E35" i="33"/>
  <c r="E34" i="33"/>
  <c r="E33" i="33"/>
  <c r="E32" i="33"/>
  <c r="E31" i="33"/>
  <c r="E30" i="33"/>
  <c r="E29" i="33"/>
  <c r="C37" i="33"/>
  <c r="C36" i="33"/>
  <c r="C35" i="33"/>
  <c r="C34" i="33"/>
  <c r="C33" i="33"/>
  <c r="C32" i="33"/>
  <c r="C31" i="33"/>
  <c r="C30" i="33"/>
  <c r="C29" i="33"/>
  <c r="I35" i="32"/>
  <c r="I34" i="32"/>
  <c r="I33" i="32"/>
  <c r="I32" i="32"/>
  <c r="I31" i="32"/>
  <c r="I30" i="32"/>
  <c r="I29" i="32"/>
  <c r="G35" i="32"/>
  <c r="G34" i="32"/>
  <c r="G33" i="32"/>
  <c r="G32" i="32"/>
  <c r="G31" i="32"/>
  <c r="G30" i="32"/>
  <c r="G29" i="32"/>
  <c r="E35" i="32"/>
  <c r="E34" i="32"/>
  <c r="E33" i="32"/>
  <c r="E32" i="32"/>
  <c r="E31" i="32"/>
  <c r="E30" i="32"/>
  <c r="E29" i="32"/>
  <c r="C35" i="32"/>
  <c r="C34" i="32"/>
  <c r="C33" i="32"/>
  <c r="C32" i="32"/>
  <c r="C31" i="32"/>
  <c r="C30" i="32"/>
  <c r="C29" i="32"/>
  <c r="I36" i="31"/>
  <c r="I35" i="31"/>
  <c r="I34" i="31"/>
  <c r="I33" i="31"/>
  <c r="I32" i="31"/>
  <c r="I31" i="31"/>
  <c r="I30" i="31"/>
  <c r="I29" i="31"/>
  <c r="G36" i="31"/>
  <c r="G35" i="31"/>
  <c r="G34" i="31"/>
  <c r="G33" i="31"/>
  <c r="G32" i="31"/>
  <c r="G31" i="31"/>
  <c r="G30" i="31"/>
  <c r="G29" i="31"/>
  <c r="E36" i="31"/>
  <c r="E35" i="31"/>
  <c r="E34" i="31"/>
  <c r="E33" i="31"/>
  <c r="E32" i="31"/>
  <c r="E31" i="31"/>
  <c r="E30" i="31"/>
  <c r="E29" i="31"/>
  <c r="C36" i="31"/>
  <c r="C35" i="31"/>
  <c r="C34" i="31"/>
  <c r="C33" i="31"/>
  <c r="C32" i="31"/>
  <c r="C31" i="31"/>
  <c r="C30" i="31"/>
  <c r="C29" i="31"/>
  <c r="I37" i="30"/>
  <c r="I36" i="30"/>
  <c r="I35" i="30"/>
  <c r="I34" i="30"/>
  <c r="I33" i="30"/>
  <c r="I32" i="30"/>
  <c r="I31" i="30"/>
  <c r="I30" i="30"/>
  <c r="I29" i="30"/>
  <c r="G37" i="30"/>
  <c r="G36" i="30"/>
  <c r="G35" i="30"/>
  <c r="G34" i="30"/>
  <c r="G33" i="30"/>
  <c r="G32" i="30"/>
  <c r="G31" i="30"/>
  <c r="G30" i="30"/>
  <c r="G29" i="30"/>
  <c r="E37" i="30"/>
  <c r="E36" i="30"/>
  <c r="E35" i="30"/>
  <c r="E34" i="30"/>
  <c r="E33" i="30"/>
  <c r="E32" i="30"/>
  <c r="E31" i="30"/>
  <c r="E30" i="30"/>
  <c r="E29" i="30"/>
  <c r="C37" i="30"/>
  <c r="C36" i="30"/>
  <c r="C35" i="30"/>
  <c r="C34" i="30"/>
  <c r="C33" i="30"/>
  <c r="C32" i="30"/>
  <c r="C31" i="30"/>
  <c r="C30" i="30"/>
  <c r="C29" i="30"/>
  <c r="I36" i="29"/>
  <c r="I35" i="29"/>
  <c r="I34" i="29"/>
  <c r="I33" i="29"/>
  <c r="I32" i="29"/>
  <c r="I31" i="29"/>
  <c r="I30" i="29"/>
  <c r="I29" i="29"/>
  <c r="G36" i="29"/>
  <c r="G35" i="29"/>
  <c r="G34" i="29"/>
  <c r="G33" i="29"/>
  <c r="G32" i="29"/>
  <c r="G31" i="29"/>
  <c r="G30" i="29"/>
  <c r="G29" i="29"/>
  <c r="E36" i="29"/>
  <c r="E35" i="29"/>
  <c r="E34" i="29"/>
  <c r="E33" i="29"/>
  <c r="E32" i="29"/>
  <c r="E31" i="29"/>
  <c r="E30" i="29"/>
  <c r="E29" i="29"/>
  <c r="C36" i="29"/>
  <c r="C35" i="29"/>
  <c r="C34" i="29"/>
  <c r="C33" i="29"/>
  <c r="C32" i="29"/>
  <c r="C31" i="29"/>
  <c r="C30" i="29"/>
  <c r="C29" i="29"/>
  <c r="I37" i="27"/>
  <c r="I36" i="27"/>
  <c r="I35" i="27"/>
  <c r="I34" i="27"/>
  <c r="I33" i="27"/>
  <c r="I32" i="27"/>
  <c r="I31" i="27"/>
  <c r="I30" i="27"/>
  <c r="I29" i="27"/>
  <c r="G37" i="27"/>
  <c r="G36" i="27"/>
  <c r="G35" i="27"/>
  <c r="G34" i="27"/>
  <c r="G33" i="27"/>
  <c r="G32" i="27"/>
  <c r="G31" i="27"/>
  <c r="G30" i="27"/>
  <c r="G29" i="27"/>
  <c r="E37" i="27"/>
  <c r="E36" i="27"/>
  <c r="E35" i="27"/>
  <c r="E34" i="27"/>
  <c r="E33" i="27"/>
  <c r="E32" i="27"/>
  <c r="E31" i="27"/>
  <c r="E30" i="27"/>
  <c r="E29" i="27"/>
  <c r="C37" i="27"/>
  <c r="C36" i="27"/>
  <c r="C35" i="27"/>
  <c r="C34" i="27"/>
  <c r="C33" i="27"/>
  <c r="C32" i="27"/>
  <c r="C31" i="27"/>
  <c r="C30" i="27"/>
  <c r="C29" i="27"/>
  <c r="I37" i="26"/>
  <c r="I36" i="26"/>
  <c r="I35" i="26"/>
  <c r="I34" i="26"/>
  <c r="I33" i="26"/>
  <c r="I32" i="26"/>
  <c r="I31" i="26"/>
  <c r="I30" i="26"/>
  <c r="I29" i="26"/>
  <c r="G37" i="26"/>
  <c r="G36" i="26"/>
  <c r="G35" i="26"/>
  <c r="G34" i="26"/>
  <c r="G33" i="26"/>
  <c r="G32" i="26"/>
  <c r="G31" i="26"/>
  <c r="G30" i="26"/>
  <c r="G29" i="26"/>
  <c r="E37" i="26"/>
  <c r="E36" i="26"/>
  <c r="E35" i="26"/>
  <c r="E34" i="26"/>
  <c r="E33" i="26"/>
  <c r="E32" i="26"/>
  <c r="E31" i="26"/>
  <c r="E30" i="26"/>
  <c r="E29" i="26"/>
  <c r="C37" i="26"/>
  <c r="C36" i="26"/>
  <c r="C35" i="26"/>
  <c r="C34" i="26"/>
  <c r="C33" i="26"/>
  <c r="C32" i="26"/>
  <c r="C31" i="26"/>
  <c r="C30" i="26"/>
  <c r="C29" i="26"/>
  <c r="I34" i="25"/>
  <c r="I33" i="25"/>
  <c r="I32" i="25"/>
  <c r="I31" i="25"/>
  <c r="I30" i="25"/>
  <c r="I29" i="25"/>
  <c r="G34" i="25"/>
  <c r="G33" i="25"/>
  <c r="G32" i="25"/>
  <c r="G31" i="25"/>
  <c r="G30" i="25"/>
  <c r="G29" i="25"/>
  <c r="E34" i="25"/>
  <c r="E33" i="25"/>
  <c r="E32" i="25"/>
  <c r="E31" i="25"/>
  <c r="E30" i="25"/>
  <c r="E29" i="25"/>
  <c r="C34" i="25"/>
  <c r="C33" i="25"/>
  <c r="C32" i="25"/>
  <c r="C31" i="25"/>
  <c r="C30" i="25"/>
  <c r="C29" i="25"/>
  <c r="I38" i="24"/>
  <c r="I37" i="24"/>
  <c r="I36" i="24"/>
  <c r="I35" i="24"/>
  <c r="I34" i="24"/>
  <c r="I33" i="24"/>
  <c r="I32" i="24"/>
  <c r="I31" i="24"/>
  <c r="I30" i="24"/>
  <c r="I29" i="24"/>
  <c r="G38" i="24"/>
  <c r="G37" i="24"/>
  <c r="G36" i="24"/>
  <c r="G35" i="24"/>
  <c r="G34" i="24"/>
  <c r="G33" i="24"/>
  <c r="G32" i="24"/>
  <c r="G31" i="24"/>
  <c r="G30" i="24"/>
  <c r="G29" i="24"/>
  <c r="E38" i="24"/>
  <c r="E37" i="24"/>
  <c r="E36" i="24"/>
  <c r="E35" i="24"/>
  <c r="E34" i="24"/>
  <c r="E33" i="24"/>
  <c r="E32" i="24"/>
  <c r="E31" i="24"/>
  <c r="E30" i="24"/>
  <c r="E29" i="24"/>
  <c r="C38" i="24"/>
  <c r="C37" i="24"/>
  <c r="C36" i="24"/>
  <c r="C35" i="24"/>
  <c r="C34" i="24"/>
  <c r="C33" i="24"/>
  <c r="C32" i="24"/>
  <c r="C31" i="24"/>
  <c r="C30" i="24"/>
  <c r="C29" i="24"/>
  <c r="I36" i="23"/>
  <c r="I35" i="23"/>
  <c r="I34" i="23"/>
  <c r="I33" i="23"/>
  <c r="I32" i="23"/>
  <c r="I31" i="23"/>
  <c r="I30" i="23"/>
  <c r="I29" i="23"/>
  <c r="G36" i="23"/>
  <c r="G35" i="23"/>
  <c r="G34" i="23"/>
  <c r="G33" i="23"/>
  <c r="G32" i="23"/>
  <c r="G31" i="23"/>
  <c r="G30" i="23"/>
  <c r="G29" i="23"/>
  <c r="E36" i="23"/>
  <c r="E35" i="23"/>
  <c r="E34" i="23"/>
  <c r="E33" i="23"/>
  <c r="E32" i="23"/>
  <c r="E31" i="23"/>
  <c r="E30" i="23"/>
  <c r="E29" i="23"/>
  <c r="C36" i="23"/>
  <c r="C35" i="23"/>
  <c r="C34" i="23"/>
  <c r="C33" i="23"/>
  <c r="C32" i="23"/>
  <c r="C31" i="23"/>
  <c r="C30" i="23"/>
  <c r="C29" i="23"/>
  <c r="I36" i="7"/>
  <c r="I35" i="7"/>
  <c r="I34" i="7"/>
  <c r="I33" i="7"/>
  <c r="I32" i="7"/>
  <c r="I31" i="7"/>
  <c r="I30" i="7"/>
  <c r="I29" i="7"/>
  <c r="G36" i="7"/>
  <c r="G35" i="7"/>
  <c r="G34" i="7"/>
  <c r="G33" i="7"/>
  <c r="G32" i="7"/>
  <c r="G31" i="7"/>
  <c r="G30" i="7"/>
  <c r="G29" i="7"/>
  <c r="E36" i="7"/>
  <c r="E35" i="7"/>
  <c r="E34" i="7"/>
  <c r="E33" i="7"/>
  <c r="E32" i="7"/>
  <c r="E31" i="7"/>
  <c r="E30" i="7"/>
  <c r="E29" i="7"/>
  <c r="C36" i="7"/>
  <c r="C35" i="7"/>
  <c r="C34" i="7"/>
  <c r="C33" i="7"/>
  <c r="C32" i="7"/>
  <c r="C31" i="7"/>
  <c r="C30" i="7"/>
  <c r="C29" i="7"/>
  <c r="F69" i="34"/>
  <c r="F65" i="34"/>
  <c r="F61" i="34"/>
  <c r="F57" i="34"/>
  <c r="F53" i="34"/>
  <c r="F49" i="34"/>
  <c r="F45" i="34"/>
  <c r="J69" i="34"/>
  <c r="J65" i="34"/>
  <c r="J61" i="34"/>
  <c r="J57" i="34"/>
  <c r="F52" i="7"/>
  <c r="F48" i="7"/>
  <c r="F67" i="30"/>
  <c r="F63" i="30"/>
  <c r="F58" i="30"/>
  <c r="F54" i="30"/>
  <c r="F50" i="30"/>
  <c r="F46" i="30"/>
  <c r="N67" i="30"/>
  <c r="J67" i="30"/>
  <c r="N63" i="30"/>
  <c r="J63" i="30"/>
  <c r="N58" i="30"/>
  <c r="J58" i="30"/>
  <c r="J65" i="29"/>
  <c r="J61" i="29"/>
  <c r="J57" i="29"/>
  <c r="J75" i="26"/>
  <c r="J64" i="25"/>
  <c r="J59" i="25"/>
  <c r="J54" i="25"/>
  <c r="F62" i="24"/>
  <c r="F56" i="7"/>
  <c r="F60" i="7"/>
  <c r="F68" i="7"/>
  <c r="F71" i="7"/>
  <c r="J87" i="24"/>
  <c r="J82" i="24"/>
  <c r="J77" i="24"/>
  <c r="J72" i="24"/>
  <c r="J67" i="24"/>
  <c r="F87" i="24"/>
  <c r="F82" i="24"/>
  <c r="F77" i="24"/>
  <c r="F72" i="24"/>
  <c r="F67" i="24"/>
  <c r="F58" i="24"/>
  <c r="F54" i="24"/>
  <c r="F50" i="24"/>
  <c r="F46" i="24"/>
  <c r="J81" i="26"/>
  <c r="J70" i="26"/>
  <c r="J66" i="26"/>
  <c r="N72" i="23"/>
  <c r="J72" i="23"/>
  <c r="F72" i="23"/>
  <c r="N68" i="23"/>
  <c r="J68" i="23"/>
  <c r="F68" i="23"/>
  <c r="N64" i="23"/>
  <c r="J64" i="23"/>
  <c r="F64" i="23"/>
  <c r="N60" i="23"/>
  <c r="J60" i="23"/>
  <c r="F60" i="23"/>
  <c r="N56" i="23"/>
  <c r="J56" i="23"/>
  <c r="F56" i="23"/>
  <c r="N52" i="23"/>
  <c r="J52" i="23"/>
  <c r="F52" i="23"/>
  <c r="F48" i="23"/>
  <c r="F64" i="7"/>
  <c r="N71" i="7"/>
  <c r="J71" i="7"/>
  <c r="N68" i="7"/>
  <c r="J68" i="7"/>
  <c r="J64" i="7"/>
  <c r="N60" i="7"/>
  <c r="N48" i="7"/>
  <c r="E96" i="20"/>
  <c r="C96" i="20"/>
  <c r="E90" i="20"/>
  <c r="E95" i="20"/>
  <c r="E97" i="20"/>
  <c r="G91" i="20"/>
  <c r="C93" i="20"/>
  <c r="D96" i="20"/>
  <c r="F95" i="20"/>
  <c r="G93" i="20"/>
  <c r="C87" i="20"/>
  <c r="E89" i="20"/>
  <c r="F98" i="20"/>
  <c r="D98" i="20"/>
  <c r="G94" i="20"/>
  <c r="G95" i="20"/>
  <c r="C86" i="20"/>
  <c r="C98" i="20"/>
  <c r="C94" i="20"/>
  <c r="F90" i="20"/>
  <c r="F89" i="20"/>
  <c r="G86" i="20"/>
  <c r="C92" i="20"/>
  <c r="F91" i="20"/>
  <c r="G90" i="20"/>
  <c r="D86" i="20"/>
  <c r="G97" i="20"/>
  <c r="E94" i="20"/>
  <c r="E93" i="20"/>
  <c r="D88" i="20"/>
  <c r="G89" i="20"/>
  <c r="C89" i="20"/>
  <c r="E86" i="20"/>
  <c r="F87" i="20"/>
  <c r="D97" i="20"/>
  <c r="C90" i="20"/>
  <c r="D92" i="20"/>
  <c r="E87" i="20"/>
  <c r="D87" i="20"/>
  <c r="F86" i="20"/>
  <c r="E92" i="20"/>
  <c r="D90" i="20"/>
  <c r="C95" i="20"/>
  <c r="F96" i="20"/>
  <c r="F93" i="20"/>
  <c r="C91" i="20"/>
  <c r="D93" i="20"/>
  <c r="E88" i="20"/>
  <c r="E98" i="20"/>
  <c r="D94" i="20"/>
  <c r="E91" i="20"/>
  <c r="G92" i="20"/>
  <c r="C88" i="20"/>
  <c r="G87" i="20"/>
  <c r="G88" i="20"/>
  <c r="D95" i="20"/>
  <c r="G98" i="20"/>
  <c r="D91" i="20"/>
  <c r="C97" i="20"/>
  <c r="F97" i="20"/>
  <c r="D89" i="20"/>
  <c r="F88" i="20"/>
  <c r="G96" i="20"/>
  <c r="F94" i="20"/>
  <c r="F92" i="20"/>
  <c r="G9" i="39" l="1"/>
  <c r="G27" i="39"/>
  <c r="D27" i="39"/>
  <c r="G26" i="39"/>
  <c r="D26" i="39"/>
  <c r="G24" i="39"/>
  <c r="D24" i="39"/>
  <c r="G21" i="39"/>
  <c r="D21" i="39"/>
  <c r="G20" i="39"/>
  <c r="D20" i="39"/>
  <c r="G17" i="39"/>
  <c r="D17" i="39"/>
  <c r="G16" i="39"/>
  <c r="D16" i="39"/>
  <c r="G15" i="39"/>
  <c r="D15" i="39"/>
  <c r="G14" i="39"/>
  <c r="D14" i="39"/>
  <c r="G13" i="39"/>
  <c r="D13" i="39"/>
  <c r="G12" i="39"/>
  <c r="D12" i="39"/>
  <c r="D9" i="39"/>
  <c r="G8" i="39"/>
  <c r="D8" i="39"/>
  <c r="I12" i="39"/>
  <c r="H18" i="39"/>
  <c r="H12" i="39"/>
  <c r="I18" i="39"/>
  <c r="H20" i="39"/>
  <c r="I20" i="39"/>
  <c r="H22" i="39"/>
  <c r="I22" i="39"/>
  <c r="I29" i="39"/>
  <c r="H29" i="39"/>
  <c r="I10" i="39"/>
  <c r="H10" i="39"/>
  <c r="H8" i="39"/>
  <c r="I8" i="39"/>
  <c r="I21" i="39"/>
  <c r="H21" i="39"/>
  <c r="H9" i="39"/>
  <c r="I9" i="39"/>
  <c r="I14" i="39"/>
  <c r="H14" i="39"/>
  <c r="I17" i="39"/>
  <c r="H17" i="39"/>
  <c r="I24" i="39"/>
  <c r="H24" i="39"/>
  <c r="I15" i="39"/>
  <c r="H15" i="39"/>
  <c r="I13" i="39"/>
  <c r="H13" i="39"/>
  <c r="I16" i="39"/>
  <c r="H16" i="39"/>
  <c r="I28" i="39"/>
  <c r="H28" i="39"/>
  <c r="I26" i="39"/>
  <c r="H26" i="39"/>
  <c r="I27" i="39"/>
  <c r="H27" i="39"/>
  <c r="F15" i="39"/>
  <c r="F13" i="39"/>
  <c r="F14" i="39"/>
  <c r="F24" i="39"/>
  <c r="F18" i="39"/>
  <c r="F12" i="39"/>
  <c r="F22" i="39"/>
  <c r="F20" i="39"/>
  <c r="F29" i="39"/>
  <c r="F10" i="39"/>
  <c r="F8" i="39"/>
  <c r="F16" i="39"/>
  <c r="F21" i="39"/>
  <c r="F9" i="39"/>
  <c r="F17" i="39"/>
  <c r="F26" i="39"/>
  <c r="F28" i="39"/>
  <c r="F27" i="39"/>
  <c r="E15" i="39"/>
  <c r="E13" i="39"/>
  <c r="E14" i="39"/>
  <c r="E24" i="39"/>
  <c r="E18" i="39"/>
  <c r="E12" i="39"/>
  <c r="E20" i="39"/>
  <c r="E22" i="39"/>
  <c r="E29" i="39"/>
  <c r="E8" i="39"/>
  <c r="E10" i="39"/>
  <c r="E16" i="39"/>
  <c r="E21" i="39"/>
  <c r="E9" i="39"/>
  <c r="E17" i="39"/>
  <c r="E28" i="39"/>
  <c r="E26" i="39"/>
  <c r="E27" i="39"/>
  <c r="G27" i="38"/>
  <c r="D27" i="38"/>
  <c r="G26" i="38"/>
  <c r="D26" i="38"/>
  <c r="G24" i="38"/>
  <c r="D24" i="38"/>
  <c r="G21" i="38"/>
  <c r="D21" i="38"/>
  <c r="G20" i="38"/>
  <c r="D20" i="38"/>
  <c r="G12" i="38"/>
  <c r="I29" i="38"/>
  <c r="I28" i="38"/>
  <c r="H29" i="38"/>
  <c r="F29" i="38"/>
  <c r="F28" i="38"/>
  <c r="E29" i="38"/>
  <c r="H28" i="38"/>
  <c r="H22" i="38"/>
  <c r="I22" i="38"/>
  <c r="F22" i="38"/>
  <c r="I27" i="38"/>
  <c r="I26" i="38"/>
  <c r="I24" i="38"/>
  <c r="I21" i="38"/>
  <c r="F27" i="38"/>
  <c r="F26" i="38"/>
  <c r="F24" i="38"/>
  <c r="I18" i="38"/>
  <c r="F18" i="38"/>
  <c r="I20" i="38"/>
  <c r="I17" i="38"/>
  <c r="F21" i="38"/>
  <c r="F20" i="38"/>
  <c r="E27" i="38"/>
  <c r="E26" i="38"/>
  <c r="E24" i="38"/>
  <c r="H27" i="38"/>
  <c r="H26" i="38"/>
  <c r="H24" i="38"/>
  <c r="E28" i="38"/>
  <c r="H21" i="38"/>
  <c r="E20" i="38"/>
  <c r="H18" i="38"/>
  <c r="H20" i="38"/>
  <c r="H12" i="38"/>
  <c r="E22" i="38"/>
  <c r="E18" i="38"/>
  <c r="E21" i="38"/>
  <c r="E12" i="38"/>
  <c r="H10" i="38"/>
  <c r="F10" i="38"/>
  <c r="I13" i="38"/>
  <c r="I15" i="38"/>
  <c r="I16" i="38"/>
  <c r="I14" i="38"/>
  <c r="F13" i="38"/>
  <c r="F17" i="38"/>
  <c r="F16" i="38"/>
  <c r="F14" i="38"/>
  <c r="F15" i="38"/>
  <c r="H13" i="38"/>
  <c r="H15" i="38"/>
  <c r="H16" i="38"/>
  <c r="H14" i="38"/>
  <c r="H17" i="38"/>
  <c r="E13" i="38"/>
  <c r="E17" i="38"/>
  <c r="E16" i="38"/>
  <c r="E14" i="38"/>
  <c r="E15" i="38"/>
  <c r="I12" i="38"/>
  <c r="I8" i="38"/>
  <c r="I10" i="38"/>
  <c r="F9" i="38"/>
  <c r="F8" i="38"/>
  <c r="F12" i="38"/>
  <c r="H9" i="38"/>
  <c r="H8" i="38"/>
  <c r="E10" i="38"/>
  <c r="E9" i="38"/>
  <c r="E8" i="38"/>
  <c r="I9" i="38"/>
  <c r="G9" i="38"/>
  <c r="G8" i="38"/>
  <c r="D9" i="38"/>
  <c r="D14" i="38"/>
  <c r="D16" i="38"/>
  <c r="D13" i="38"/>
  <c r="D15" i="38"/>
  <c r="G17" i="38"/>
  <c r="D8" i="38"/>
  <c r="G13" i="38"/>
  <c r="D12" i="38"/>
  <c r="G16" i="38"/>
  <c r="D17" i="38"/>
  <c r="G14" i="38"/>
  <c r="G15" i="38"/>
  <c r="F35" i="1"/>
  <c r="H41" i="1"/>
  <c r="G41" i="1"/>
  <c r="F41" i="1"/>
  <c r="E41" i="1"/>
  <c r="H40" i="1"/>
  <c r="G40" i="1"/>
  <c r="F40" i="1"/>
  <c r="E40" i="1"/>
  <c r="H38" i="1"/>
  <c r="G38" i="1"/>
  <c r="F38" i="1"/>
  <c r="E38" i="1"/>
  <c r="H36" i="1"/>
  <c r="G36" i="1"/>
  <c r="F36" i="1"/>
  <c r="E36" i="1"/>
  <c r="H35" i="1"/>
  <c r="G35" i="1"/>
  <c r="E35" i="1"/>
  <c r="H33" i="1"/>
  <c r="G33" i="1"/>
  <c r="F33" i="1"/>
  <c r="E33" i="1"/>
  <c r="H32" i="1"/>
  <c r="G32" i="1"/>
  <c r="F32" i="1"/>
  <c r="E32" i="1"/>
  <c r="H31" i="1"/>
  <c r="G31" i="1"/>
  <c r="F31" i="1"/>
  <c r="E31" i="1"/>
  <c r="H30" i="1"/>
  <c r="G30" i="1"/>
  <c r="F30" i="1"/>
  <c r="E30" i="1"/>
  <c r="H29" i="1"/>
  <c r="G29" i="1"/>
  <c r="F29" i="1"/>
  <c r="E29" i="1"/>
  <c r="H28" i="1"/>
  <c r="G28" i="1"/>
  <c r="F28" i="1"/>
  <c r="E28" i="1"/>
  <c r="H26" i="1"/>
  <c r="G26" i="1"/>
  <c r="F26" i="1"/>
  <c r="E26" i="1"/>
  <c r="H25" i="1"/>
  <c r="G25" i="1"/>
  <c r="F25" i="1"/>
  <c r="E25" i="1"/>
  <c r="E21" i="20"/>
  <c r="R50" i="20" s="1"/>
  <c r="E24" i="20"/>
  <c r="T53" i="20" s="1"/>
  <c r="I39" i="26"/>
  <c r="G18" i="20"/>
  <c r="AB47" i="20" s="1"/>
  <c r="I39" i="27"/>
  <c r="G19" i="20"/>
  <c r="AB48" i="20" s="1"/>
  <c r="C38" i="7"/>
  <c r="D14" i="20"/>
  <c r="L43" i="20" s="1"/>
  <c r="I38" i="7"/>
  <c r="G14" i="20"/>
  <c r="AA43" i="20" s="1"/>
  <c r="F15" i="20"/>
  <c r="V44" i="20" s="1"/>
  <c r="F16" i="20"/>
  <c r="W45" i="20" s="1"/>
  <c r="F20" i="20"/>
  <c r="W49" i="20" s="1"/>
  <c r="E22" i="20"/>
  <c r="S51" i="20" s="1"/>
  <c r="D23" i="20"/>
  <c r="N52" i="20" s="1"/>
  <c r="E26" i="20"/>
  <c r="U55" i="20" s="1"/>
  <c r="E17" i="20"/>
  <c r="R46" i="20" s="1"/>
  <c r="F14" i="20"/>
  <c r="V43" i="20" s="1"/>
  <c r="E15" i="20"/>
  <c r="Q44" i="20" s="1"/>
  <c r="D16" i="20"/>
  <c r="M45" i="20" s="1"/>
  <c r="E20" i="20"/>
  <c r="R49" i="20" s="1"/>
  <c r="D21" i="20"/>
  <c r="M50" i="20" s="1"/>
  <c r="D22" i="20"/>
  <c r="N51" i="20" s="1"/>
  <c r="G22" i="20"/>
  <c r="AC51" i="20" s="1"/>
  <c r="D24" i="20"/>
  <c r="O53" i="20" s="1"/>
  <c r="D25" i="20"/>
  <c r="P54" i="20" s="1"/>
  <c r="E25" i="20"/>
  <c r="U54" i="20" s="1"/>
  <c r="F25" i="20"/>
  <c r="Z54" i="20" s="1"/>
  <c r="G25" i="20"/>
  <c r="AE54" i="20" s="1"/>
  <c r="D26" i="20"/>
  <c r="P55" i="20" s="1"/>
  <c r="G26" i="20"/>
  <c r="AE55" i="20" s="1"/>
  <c r="F23" i="20"/>
  <c r="X52" i="20" s="1"/>
  <c r="E18" i="20"/>
  <c r="R47" i="20" s="1"/>
  <c r="E19" i="20"/>
  <c r="R48" i="20" s="1"/>
  <c r="E16" i="20"/>
  <c r="R45" i="20" s="1"/>
  <c r="F18" i="20"/>
  <c r="W47" i="20" s="1"/>
  <c r="I36" i="25"/>
  <c r="G17" i="20"/>
  <c r="AB46" i="20" s="1"/>
  <c r="G21" i="20"/>
  <c r="AB50" i="20" s="1"/>
  <c r="E23" i="20"/>
  <c r="S52" i="20" s="1"/>
  <c r="G24" i="20"/>
  <c r="AD53" i="20" s="1"/>
  <c r="E14" i="20"/>
  <c r="Q43" i="20" s="1"/>
  <c r="D15" i="20"/>
  <c r="L44" i="20" s="1"/>
  <c r="G15" i="20"/>
  <c r="AA44" i="20" s="1"/>
  <c r="D17" i="20"/>
  <c r="M46" i="20" s="1"/>
  <c r="F17" i="20"/>
  <c r="W46" i="20" s="1"/>
  <c r="D18" i="20"/>
  <c r="M47" i="20" s="1"/>
  <c r="D19" i="20"/>
  <c r="M48" i="20" s="1"/>
  <c r="D20" i="20"/>
  <c r="M49" i="20" s="1"/>
  <c r="G20" i="20"/>
  <c r="AB49" i="20" s="1"/>
  <c r="F22" i="20"/>
  <c r="X51" i="20" s="1"/>
  <c r="F26" i="20"/>
  <c r="Z55" i="20" s="1"/>
  <c r="G23" i="20"/>
  <c r="AC52" i="20" s="1"/>
  <c r="F19" i="20"/>
  <c r="W48" i="20" s="1"/>
  <c r="G16" i="20"/>
  <c r="AB45" i="20" s="1"/>
  <c r="F21" i="20"/>
  <c r="W50" i="20" s="1"/>
  <c r="F24" i="20"/>
  <c r="Y53" i="20" s="1"/>
  <c r="G40" i="24"/>
  <c r="I38" i="31"/>
  <c r="I42" i="28"/>
  <c r="I38" i="34"/>
  <c r="I39" i="30"/>
  <c r="I39" i="33"/>
  <c r="I38" i="29"/>
  <c r="I37" i="32"/>
  <c r="G38" i="23"/>
  <c r="C38" i="31"/>
  <c r="E40" i="24"/>
  <c r="C40" i="24"/>
  <c r="C39" i="30"/>
  <c r="C39" i="33"/>
  <c r="C42" i="28"/>
  <c r="E42" i="28"/>
  <c r="E39" i="26"/>
  <c r="E39" i="27"/>
  <c r="E38" i="7"/>
  <c r="C36" i="25"/>
  <c r="C39" i="26"/>
  <c r="C39" i="27"/>
  <c r="C38" i="29"/>
  <c r="C37" i="32"/>
  <c r="E38" i="34"/>
  <c r="G38" i="7"/>
  <c r="C38" i="34"/>
  <c r="C38" i="23"/>
  <c r="J53" i="34"/>
  <c r="J49" i="34"/>
  <c r="J45" i="34"/>
  <c r="N54" i="30"/>
  <c r="N50" i="30"/>
  <c r="N46" i="30"/>
  <c r="J54" i="30"/>
  <c r="J50" i="30"/>
  <c r="J46" i="30"/>
  <c r="J50" i="25"/>
  <c r="N46" i="24"/>
  <c r="J62" i="24"/>
  <c r="J58" i="24"/>
  <c r="J54" i="24"/>
  <c r="J46" i="24"/>
  <c r="N48" i="23"/>
  <c r="J48" i="23"/>
  <c r="E48" i="23"/>
  <c r="N44" i="23"/>
  <c r="J44" i="23"/>
  <c r="E44" i="23"/>
  <c r="G18" i="39" l="1"/>
  <c r="G10" i="39"/>
  <c r="G28" i="39"/>
  <c r="D28" i="39"/>
  <c r="G22" i="39"/>
  <c r="D22" i="39"/>
  <c r="D22" i="38"/>
  <c r="D18" i="39"/>
  <c r="D10" i="39"/>
  <c r="G28" i="38"/>
  <c r="D28" i="38"/>
  <c r="G22" i="38"/>
  <c r="D18" i="38"/>
  <c r="G10" i="38"/>
  <c r="D10" i="38"/>
  <c r="G18" i="38"/>
  <c r="N56" i="7"/>
  <c r="N52" i="7"/>
  <c r="J60" i="7"/>
  <c r="J56" i="7"/>
  <c r="J52" i="7"/>
  <c r="J48" i="7"/>
  <c r="N44" i="7"/>
  <c r="J44" i="7"/>
  <c r="D29" i="39" l="1"/>
  <c r="D29" i="38"/>
  <c r="G29" i="38"/>
  <c r="G29" i="39"/>
  <c r="J53" i="29"/>
  <c r="J61" i="26"/>
  <c r="J57" i="26"/>
  <c r="J53" i="26"/>
  <c r="E37" i="32" l="1"/>
  <c r="E36" i="25"/>
  <c r="E39" i="33"/>
  <c r="E38" i="31"/>
  <c r="E39" i="30"/>
  <c r="E38" i="29"/>
  <c r="E38" i="23" l="1"/>
  <c r="J49" i="29" l="1"/>
  <c r="J45" i="29"/>
  <c r="J50" i="24"/>
  <c r="J49" i="26"/>
  <c r="J45" i="26"/>
  <c r="G38" i="29" l="1"/>
  <c r="G39" i="27"/>
  <c r="G39" i="26"/>
  <c r="G42" i="28"/>
  <c r="G39" i="33"/>
  <c r="G38" i="34"/>
  <c r="G37" i="32"/>
  <c r="G38" i="31"/>
  <c r="G39" i="30"/>
  <c r="G36" i="25"/>
  <c r="I40" i="24"/>
  <c r="I38"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Demers, Geneviève</author>
  </authors>
  <commentList>
    <comment ref="A29" authorId="0" shapeId="0" xr:uid="{60A1EFF2-1D45-46A5-902A-CC0102D5AD86}">
      <text>
        <r>
          <rPr>
            <sz val="9"/>
            <color rgb="FF000000"/>
            <rFont val="Tahoma"/>
            <family val="2"/>
          </rPr>
          <t xml:space="preserve">
</t>
        </r>
        <r>
          <rPr>
            <sz val="12"/>
            <color rgb="FF000000"/>
            <rFont val="Tahoma"/>
            <family val="2"/>
          </rPr>
          <t>Démontrer une compréhension approfondie des contenus du Programme de formation de l’école québécoise, notamment de ceux associés à la discipline d’enseignement (théorie, notions, problèmes, méthodes, outils pratiques, histoire, etc.), et de leur organisation intellectuelle afin d’en dégager les points de repère essentiels et les axes d’intelligibilité qui rendront possibles des apprentissages significatifs et approfondis chez les élèves.</t>
        </r>
      </text>
    </comment>
    <comment ref="A30" authorId="0" shapeId="0" xr:uid="{150BE746-F651-444E-8A6E-223DC82F37E1}">
      <text>
        <r>
          <rPr>
            <sz val="12"/>
            <color rgb="FF000000"/>
            <rFont val="Tahoma"/>
            <family val="2"/>
          </rPr>
          <t xml:space="preserve">Donner du sens aux apprentissages des élèves en tissant des liens entre ceux effectués dans la classe, entre sa discipline et les autres disciplines enseignées de même qu’entre sa discipline et les œuvres, les récits, les productions du patrimoine culturel de l’humanité, les questions sociales, scientifiques, éthiques et politiques ou les situations de la vie courante.
</t>
        </r>
        <r>
          <rPr>
            <sz val="9"/>
            <color rgb="FF000000"/>
            <rFont val="Tahoma"/>
            <family val="2"/>
          </rPr>
          <t xml:space="preserve">
</t>
        </r>
        <r>
          <rPr>
            <sz val="9"/>
            <color rgb="FF000000"/>
            <rFont val="Tahoma"/>
            <family val="2"/>
          </rPr>
          <t xml:space="preserve">
</t>
        </r>
      </text>
    </comment>
    <comment ref="A31" authorId="0" shapeId="0" xr:uid="{231E4787-3591-4DDA-8411-359DE7D08CE2}">
      <text>
        <r>
          <rPr>
            <sz val="12"/>
            <color rgb="FF000000"/>
            <rFont val="Tahoma"/>
            <family val="2"/>
          </rPr>
          <t>Susciter chez les élèves l’esprit critique, la mise à distance et la réflexivité à l’égard de l’environnement immédiat, de l’univers médiatique et numérique, des phénomènes sociaux, scientifiques, artistiques, éthiques et politiques ainsi que des productions culturelles du passé et du présent.</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A32" authorId="0" shapeId="0" xr:uid="{96BA9069-36C4-4EEE-8E49-770F5F44B6CC}">
      <text>
        <r>
          <rPr>
            <sz val="12"/>
            <color rgb="FF000000"/>
            <rFont val="Tahoma"/>
            <family val="2"/>
          </rPr>
          <t xml:space="preserve">
</t>
        </r>
        <r>
          <rPr>
            <sz val="12"/>
            <color rgb="FF000000"/>
            <rFont val="Tahoma"/>
            <family val="2"/>
          </rPr>
          <t xml:space="preserve">Aménager la classe en un espace de vie inclusif et stimulant qui met la culture en valeur.
</t>
        </r>
        <r>
          <rPr>
            <sz val="9"/>
            <color rgb="FF000000"/>
            <rFont val="Tahoma"/>
            <family val="2"/>
          </rPr>
          <t xml:space="preserve">
</t>
        </r>
      </text>
    </comment>
    <comment ref="A33" authorId="0" shapeId="0" xr:uid="{784A6F55-CD0E-496F-A915-3503EF8F55C8}">
      <text>
        <r>
          <rPr>
            <sz val="12"/>
            <color rgb="FF000000"/>
            <rFont val="Tahoma"/>
            <family val="2"/>
          </rPr>
          <t xml:space="preserve">
</t>
        </r>
        <r>
          <rPr>
            <sz val="12"/>
            <color rgb="FF000000"/>
            <rFont val="Tahoma"/>
            <family val="2"/>
          </rPr>
          <t xml:space="preserve">
</t>
        </r>
        <r>
          <rPr>
            <sz val="12"/>
            <color rgb="FF000000"/>
            <rFont val="Tahoma"/>
            <family val="2"/>
          </rPr>
          <t>Amener les élèves à expliciter et à justifier leurs représentations, leurs goûts, leurs références et leurs pratiques en matière de culture.</t>
        </r>
        <r>
          <rPr>
            <sz val="9"/>
            <color rgb="FF000000"/>
            <rFont val="Tahoma"/>
            <family val="2"/>
          </rPr>
          <t xml:space="preserve">
</t>
        </r>
        <r>
          <rPr>
            <sz val="9"/>
            <color rgb="FF000000"/>
            <rFont val="Tahoma"/>
            <family val="2"/>
          </rPr>
          <t xml:space="preserve"> 
</t>
        </r>
      </text>
    </comment>
    <comment ref="A34" authorId="0" shapeId="0" xr:uid="{8E85C0D4-4B49-4DD1-A97A-12D763950BE1}">
      <text>
        <r>
          <rPr>
            <sz val="9"/>
            <color rgb="FF000000"/>
            <rFont val="Tahoma"/>
            <family val="2"/>
          </rPr>
          <t xml:space="preserve">
</t>
        </r>
        <r>
          <rPr>
            <sz val="12"/>
            <color rgb="FF000000"/>
            <rFont val="Tahoma"/>
            <family val="2"/>
          </rPr>
          <t>Encourager un dialogue ouvert et critique entre la culture des jeunes et la culture transmise à l’école.</t>
        </r>
        <r>
          <rPr>
            <sz val="9"/>
            <color rgb="FF000000"/>
            <rFont val="Tahoma"/>
            <family val="2"/>
          </rPr>
          <t xml:space="preserve">
</t>
        </r>
      </text>
    </comment>
    <comment ref="A35" authorId="0" shapeId="0" xr:uid="{C8B7843D-E5A0-4585-B24F-23029F9D415D}">
      <text>
        <r>
          <rPr>
            <sz val="9"/>
            <color rgb="FF000000"/>
            <rFont val="Tahoma"/>
            <family val="2"/>
          </rPr>
          <t xml:space="preserve">
</t>
        </r>
        <r>
          <rPr>
            <sz val="12"/>
            <color rgb="FF000000"/>
            <rFont val="Tahoma"/>
            <family val="2"/>
          </rPr>
          <t>Porter un regard critique sur ses propres origines et ses pratiques culturelles, en reconnaître les potentialités et les limites, et trouver les moyens de les enrichir et de les diversifier.</t>
        </r>
        <r>
          <rPr>
            <sz val="9"/>
            <color rgb="FF000000"/>
            <rFont val="Tahoma"/>
            <family val="2"/>
          </rPr>
          <t xml:space="preserve">
</t>
        </r>
      </text>
    </comment>
    <comment ref="A36" authorId="0" shapeId="0" xr:uid="{34D0C44C-C43C-4718-92FD-A99313891B98}">
      <text>
        <r>
          <rPr>
            <sz val="9"/>
            <color rgb="FF000000"/>
            <rFont val="Tahoma"/>
            <family val="2"/>
          </rPr>
          <t xml:space="preserve">
</t>
        </r>
        <r>
          <rPr>
            <sz val="12"/>
            <color rgb="FF000000"/>
            <rFont val="Tahoma"/>
            <family val="2"/>
          </rPr>
          <t xml:space="preserve">Collaborer avec la communauté et les organismes culturels du milieu, et connaître les ressources et les programmes qui soutiennent l’enseignante ou l’enseignant dans son rôle de médiatrice ou de médiateur.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Demers, Geneviève</author>
  </authors>
  <commentList>
    <comment ref="A29" authorId="0" shapeId="0" xr:uid="{5FEF8DEE-502B-4BC2-9BB7-73F35556F4A0}">
      <text>
        <r>
          <rPr>
            <sz val="12"/>
            <color indexed="81"/>
            <rFont val="Tahoma"/>
            <family val="2"/>
          </rPr>
          <t>Établir des relations constructives avec la famille et les partenaires de la communauté.</t>
        </r>
        <r>
          <rPr>
            <b/>
            <sz val="9"/>
            <color indexed="81"/>
            <rFont val="Tahoma"/>
            <family val="2"/>
          </rPr>
          <t xml:space="preserve">
</t>
        </r>
      </text>
    </comment>
    <comment ref="A30" authorId="0" shapeId="0" xr:uid="{725C8D13-41C7-4061-835B-AA30B4F989C0}">
      <text>
        <r>
          <rPr>
            <sz val="12"/>
            <color indexed="81"/>
            <rFont val="Tahoma"/>
            <family val="2"/>
          </rPr>
          <t>Entretenir une communication de qualité avec la famille à propos de la réussite et du bien-être de l’enfant.</t>
        </r>
        <r>
          <rPr>
            <b/>
            <sz val="9"/>
            <color indexed="81"/>
            <rFont val="Tahoma"/>
            <family val="2"/>
          </rPr>
          <t xml:space="preserve">
</t>
        </r>
      </text>
    </comment>
    <comment ref="A31" authorId="0" shapeId="0" xr:uid="{83B75ECF-0A84-44E8-A1CD-282D38772190}">
      <text>
        <r>
          <rPr>
            <sz val="12"/>
            <color indexed="81"/>
            <rFont val="Tahoma"/>
            <family val="2"/>
          </rPr>
          <t xml:space="preserve">Communiquer à la famille ses attentes au regard des résultats, des attitudes et des comportements souhaités en classe. </t>
        </r>
        <r>
          <rPr>
            <b/>
            <sz val="9"/>
            <color indexed="81"/>
            <rFont val="Tahoma"/>
            <family val="2"/>
          </rPr>
          <t xml:space="preserve">
</t>
        </r>
      </text>
    </comment>
    <comment ref="A32" authorId="0" shapeId="0" xr:uid="{C9E4F20C-DFB8-49CB-A65B-7A3BD8A68082}">
      <text>
        <r>
          <rPr>
            <sz val="12"/>
            <color indexed="81"/>
            <rFont val="Tahoma"/>
            <family val="2"/>
          </rPr>
          <t>Mettre en œuvre des moyens appropriés de faire participer la famille aux apprentissages de l’enfant ainsi qu’aux activités scolaires et parascolaires.</t>
        </r>
        <r>
          <rPr>
            <b/>
            <sz val="9"/>
            <color indexed="81"/>
            <rFont val="Tahoma"/>
            <family val="2"/>
          </rPr>
          <t xml:space="preserve">
</t>
        </r>
      </text>
    </comment>
    <comment ref="A33" authorId="0" shapeId="0" xr:uid="{72BE8027-C6C8-4C9C-9099-43865B8B7AB9}">
      <text>
        <r>
          <rPr>
            <sz val="12"/>
            <color indexed="81"/>
            <rFont val="Tahoma"/>
            <family val="2"/>
          </rPr>
          <t>Saisir les occasions de collaborer avec tout partenaire susceptible d’enrichir l’apprentissage et l’éducation des élèves.</t>
        </r>
        <r>
          <rPr>
            <b/>
            <sz val="9"/>
            <color indexed="81"/>
            <rFont val="Tahoma"/>
            <family val="2"/>
          </rPr>
          <t xml:space="preserve">
</t>
        </r>
      </text>
    </comment>
    <comment ref="A34" authorId="0" shapeId="0" xr:uid="{E0DE4F39-FAFB-4BB6-BDEE-FB5FF8AC5026}">
      <text>
        <r>
          <rPr>
            <sz val="12"/>
            <color indexed="81"/>
            <rFont val="Tahoma"/>
            <family val="2"/>
          </rPr>
          <t>S’assurer que les intentions éducatives poursuivies par les activités proposées par des partenaires respectent le Programme de formation de l’école québécoise, le projet éducatif de l’école ainsi que les intérêts et les besoins des élèves, de l’enseignante, de l’enseignant et de l’école.</t>
        </r>
        <r>
          <rPr>
            <b/>
            <sz val="9"/>
            <color indexed="81"/>
            <rFont val="Tahoma"/>
            <family val="2"/>
          </rPr>
          <t xml:space="preserve">
</t>
        </r>
      </text>
    </comment>
    <comment ref="A35" authorId="0" shapeId="0" xr:uid="{47A761E6-C859-4FC5-86A5-4F44E2EB2612}">
      <text>
        <r>
          <rPr>
            <sz val="12"/>
            <color indexed="81"/>
            <rFont val="Tahoma"/>
            <family val="2"/>
          </rPr>
          <t xml:space="preserve">Saisir les occasions de réinvestir le contenu des activités de partenariat dans des situations d’enseignement et d’apprentissage. </t>
        </r>
        <r>
          <rPr>
            <b/>
            <sz val="9"/>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Demers, Geneviève</author>
  </authors>
  <commentList>
    <comment ref="A29" authorId="0" shapeId="0" xr:uid="{F6D1B026-F615-40C0-A801-DACB73F4AC76}">
      <text>
        <r>
          <rPr>
            <sz val="12"/>
            <color indexed="81"/>
            <rFont val="Tahoma"/>
            <family val="2"/>
          </rPr>
          <t xml:space="preserve">Adopter une posture réflexive vis-à-vis de son enseignement de manière à inscrire sa pratique dans une perspective d’amélioration continue.
</t>
        </r>
      </text>
    </comment>
    <comment ref="A30" authorId="0" shapeId="0" xr:uid="{0852027C-9709-4079-9CDA-3FFB5FA24472}">
      <text>
        <r>
          <rPr>
            <sz val="12"/>
            <color indexed="81"/>
            <rFont val="Tahoma"/>
            <family val="2"/>
          </rPr>
          <t xml:space="preserve">Mettre en œuvre les moyens nécessaires pour développer et actualiser ses compétences professionnelles à l’aide des ressources appropriées.
</t>
        </r>
      </text>
    </comment>
    <comment ref="A31" authorId="0" shapeId="0" xr:uid="{9BB88F3C-34AA-4B3E-A8F5-A4DA2F4F1742}">
      <text>
        <r>
          <rPr>
            <sz val="12"/>
            <color indexed="81"/>
            <rFont val="Tahoma"/>
            <family val="2"/>
          </rPr>
          <t xml:space="preserve">Participer, en fonction de ses besoins et de ceux de ses élèves, à des activités de formation continue telles qu’elles sont définies à l’article 7 de la </t>
        </r>
        <r>
          <rPr>
            <i/>
            <sz val="12"/>
            <color indexed="81"/>
            <rFont val="Tahoma"/>
            <family val="2"/>
          </rPr>
          <t>Loi modifiant principalement la Loi sur l’instruction publique relativement à l’organisation et à la gouvernance scolaires</t>
        </r>
        <r>
          <rPr>
            <sz val="12"/>
            <color indexed="81"/>
            <rFont val="Tahoma"/>
            <family val="2"/>
          </rPr>
          <t xml:space="preserve">.
</t>
        </r>
      </text>
    </comment>
    <comment ref="A32" authorId="0" shapeId="0" xr:uid="{F15F74C9-9752-41B6-812E-AACF767E50EB}">
      <text>
        <r>
          <rPr>
            <sz val="12"/>
            <color indexed="81"/>
            <rFont val="Tahoma"/>
            <family val="2"/>
          </rPr>
          <t xml:space="preserve">Lire, analyser et évaluer, de manière critique, des ouvrages spécialisés et en discuter afin d’en retirer des éléments utiles à sa pratique.
</t>
        </r>
      </text>
    </comment>
    <comment ref="A33" authorId="0" shapeId="0" xr:uid="{9C4F6795-BFFB-4334-8CB4-9A5260B65E70}">
      <text>
        <r>
          <rPr>
            <sz val="12"/>
            <color indexed="81"/>
            <rFont val="Tahoma"/>
            <family val="2"/>
          </rPr>
          <t>Analyser les enjeux éducatifs et les dilemmes professionnels vécus pour enrichir sa pratique et affermir sa posture d’enseignante ou d’enseignant.</t>
        </r>
        <r>
          <rPr>
            <b/>
            <sz val="9"/>
            <color indexed="81"/>
            <rFont val="Tahoma"/>
            <family val="2"/>
          </rPr>
          <t xml:space="preserve">
</t>
        </r>
      </text>
    </comment>
    <comment ref="A34" authorId="0" shapeId="0" xr:uid="{0B85C4E0-607C-4EE8-9579-C52412054F8F}">
      <text>
        <r>
          <rPr>
            <sz val="12"/>
            <color indexed="81"/>
            <rFont val="Tahoma"/>
            <family val="2"/>
          </rPr>
          <t>Encourager la tenue d’activités de recherche et de formation au sein de son école.</t>
        </r>
        <r>
          <rPr>
            <b/>
            <sz val="9"/>
            <color indexed="81"/>
            <rFont val="Tahoma"/>
            <family val="2"/>
          </rPr>
          <t xml:space="preserve">
</t>
        </r>
      </text>
    </comment>
    <comment ref="A35" authorId="0" shapeId="0" xr:uid="{1694991A-D33E-4C07-9368-F86944488542}">
      <text>
        <r>
          <rPr>
            <sz val="12"/>
            <color indexed="81"/>
            <rFont val="Tahoma"/>
            <family val="2"/>
          </rPr>
          <t xml:space="preserve">Développer une culture collaborative avec ses pairs et la communauté pour le rayonnement et la reconnaissance de la profession enseignante.
</t>
        </r>
      </text>
    </comment>
    <comment ref="A36" authorId="0" shapeId="0" xr:uid="{DC4CF6EC-31A6-4BFE-9C2F-38DA0E7FBABA}">
      <text>
        <r>
          <rPr>
            <sz val="12"/>
            <color indexed="81"/>
            <rFont val="Tahoma"/>
            <family val="2"/>
          </rPr>
          <t xml:space="preserve">Participer à la promotion et à la diffusion de projets et d’expériences mettant en valeur l’accomplissement et l’engagement des enseignantes, des enseignants et de leurs élèves.
</t>
        </r>
      </text>
    </comment>
    <comment ref="A37" authorId="0" shapeId="0" xr:uid="{DC8AAD38-E857-47AF-AB2A-B702FC4A686F}">
      <text>
        <r>
          <rPr>
            <sz val="12"/>
            <color indexed="81"/>
            <rFont val="Tahoma"/>
            <family val="2"/>
          </rPr>
          <t xml:space="preserve">Soutenir et encourager ses pairs dans leur développement professionnel, notamment celles et ceux qui se préparent à entrer dans la profession (stagiaires) ou qui viennent de le faire (enseignantes et enseignants en insertion professionnelle). </t>
        </r>
        <r>
          <rPr>
            <b/>
            <sz val="9"/>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Demers, Geneviève</author>
  </authors>
  <commentList>
    <comment ref="A29" authorId="0" shapeId="0" xr:uid="{6C2FDE08-5197-4D49-A53E-A1A41B1D2A6D}">
      <text>
        <r>
          <rPr>
            <sz val="12"/>
            <color indexed="81"/>
            <rFont val="Tahoma"/>
            <family val="2"/>
          </rPr>
          <t>Agir en citoyen éthique à l’ère du numérique.</t>
        </r>
        <r>
          <rPr>
            <b/>
            <sz val="9"/>
            <color indexed="81"/>
            <rFont val="Tahoma"/>
            <family val="2"/>
          </rPr>
          <t xml:space="preserve">
</t>
        </r>
      </text>
    </comment>
    <comment ref="A30" authorId="0" shapeId="0" xr:uid="{8651698C-9BCA-404E-9711-A994285618BC}">
      <text>
        <r>
          <rPr>
            <sz val="12"/>
            <color indexed="81"/>
            <rFont val="Tahoma"/>
            <family val="2"/>
          </rPr>
          <t>Développer et mobiliser ses habiletés technologiques.</t>
        </r>
        <r>
          <rPr>
            <b/>
            <sz val="9"/>
            <color indexed="81"/>
            <rFont val="Tahoma"/>
            <family val="2"/>
          </rPr>
          <t xml:space="preserve">
</t>
        </r>
      </text>
    </comment>
    <comment ref="A31" authorId="0" shapeId="0" xr:uid="{16141780-FD1F-4D41-87A3-F047169671CB}">
      <text>
        <r>
          <rPr>
            <sz val="12"/>
            <color indexed="81"/>
            <rFont val="Tahoma"/>
            <family val="2"/>
          </rPr>
          <t>Exploiter le potentiel du numérique pour l’apprentissage.</t>
        </r>
        <r>
          <rPr>
            <b/>
            <sz val="9"/>
            <color indexed="81"/>
            <rFont val="Tahoma"/>
            <family val="2"/>
          </rPr>
          <t xml:space="preserve">
</t>
        </r>
      </text>
    </comment>
    <comment ref="A32" authorId="0" shapeId="0" xr:uid="{3F5F3BD6-7E8C-44D6-822C-C28DF1A475CC}">
      <text>
        <r>
          <rPr>
            <sz val="12"/>
            <color indexed="81"/>
            <rFont val="Tahoma"/>
            <family val="2"/>
          </rPr>
          <t xml:space="preserve">Développer et mobiliser sa culture informationnelle.
</t>
        </r>
      </text>
    </comment>
    <comment ref="A33" authorId="0" shapeId="0" xr:uid="{6A998210-1A5D-43F4-BBDA-D83857A481DA}">
      <text>
        <r>
          <rPr>
            <sz val="12"/>
            <color indexed="81"/>
            <rFont val="Tahoma"/>
            <family val="2"/>
          </rPr>
          <t xml:space="preserve">Collaborer à l’aide du numérique.
</t>
        </r>
      </text>
    </comment>
    <comment ref="A34" authorId="0" shapeId="0" xr:uid="{51940838-DD85-4C67-9B0B-3A914B349940}">
      <text>
        <r>
          <rPr>
            <sz val="12"/>
            <color indexed="81"/>
            <rFont val="Tahoma"/>
            <family val="2"/>
          </rPr>
          <t>Communiquer à l’aide du numérique.</t>
        </r>
        <r>
          <rPr>
            <b/>
            <sz val="9"/>
            <color indexed="81"/>
            <rFont val="Tahoma"/>
            <family val="2"/>
          </rPr>
          <t xml:space="preserve">
</t>
        </r>
      </text>
    </comment>
    <comment ref="A35" authorId="0" shapeId="0" xr:uid="{344DA072-F97B-4D06-9C3F-6F0D8118B948}">
      <text>
        <r>
          <rPr>
            <sz val="12"/>
            <color indexed="81"/>
            <rFont val="Tahoma"/>
            <family val="2"/>
          </rPr>
          <t>Produire du contenu avec le numérique.</t>
        </r>
        <r>
          <rPr>
            <b/>
            <sz val="9"/>
            <color indexed="81"/>
            <rFont val="Tahoma"/>
            <family val="2"/>
          </rPr>
          <t xml:space="preserve">
</t>
        </r>
      </text>
    </comment>
    <comment ref="A36" authorId="0" shapeId="0" xr:uid="{6E38E945-1F87-4EFD-9C28-EAFF61BBA605}">
      <text>
        <r>
          <rPr>
            <sz val="12"/>
            <color indexed="81"/>
            <rFont val="Tahoma"/>
            <family val="2"/>
          </rPr>
          <t>Mettre à profit le numérique en tant que vecteur d’inclusion et pour répondre à des besoins diversifiés.</t>
        </r>
        <r>
          <rPr>
            <b/>
            <sz val="9"/>
            <color indexed="81"/>
            <rFont val="Tahoma"/>
            <family val="2"/>
          </rPr>
          <t xml:space="preserve">
</t>
        </r>
      </text>
    </comment>
    <comment ref="A37" authorId="0" shapeId="0" xr:uid="{4B05BFA6-FB5D-4F71-AA36-C625D10687C2}">
      <text>
        <r>
          <rPr>
            <sz val="12"/>
            <color indexed="81"/>
            <rFont val="Tahoma"/>
            <family val="2"/>
          </rPr>
          <t xml:space="preserve">Adopter une perspective de développement personnel et professionnel avec le numérique dans une posture d’autonomisation.
</t>
        </r>
      </text>
    </comment>
    <comment ref="A38" authorId="0" shapeId="0" xr:uid="{9B4A75F2-F15D-43F1-BC8E-D8E9ADFD65AE}">
      <text>
        <r>
          <rPr>
            <sz val="12"/>
            <color indexed="81"/>
            <rFont val="Tahoma"/>
            <family val="2"/>
          </rPr>
          <t xml:space="preserve">Résoudre une variété de problèmes avec le numérique. </t>
        </r>
        <r>
          <rPr>
            <b/>
            <sz val="9"/>
            <color indexed="81"/>
            <rFont val="Tahoma"/>
            <family val="2"/>
          </rPr>
          <t xml:space="preserve">
</t>
        </r>
      </text>
    </comment>
    <comment ref="A39" authorId="0" shapeId="0" xr:uid="{F449285D-0F75-4030-8D3D-0477D1CAF81C}">
      <text>
        <r>
          <rPr>
            <sz val="12"/>
            <color indexed="81"/>
            <rFont val="Tahoma"/>
            <family val="2"/>
          </rPr>
          <t>Développer sa pensée critique à l’égard du numérique.</t>
        </r>
        <r>
          <rPr>
            <b/>
            <sz val="9"/>
            <color indexed="81"/>
            <rFont val="Tahoma"/>
            <family val="2"/>
          </rPr>
          <t xml:space="preserve">
</t>
        </r>
      </text>
    </comment>
    <comment ref="A40" authorId="0" shapeId="0" xr:uid="{765F1B2C-6D63-48A9-8745-3FD934E9C6AF}">
      <text>
        <r>
          <rPr>
            <sz val="12"/>
            <color indexed="81"/>
            <rFont val="Tahoma"/>
            <family val="2"/>
          </rPr>
          <t>Innover et faire preuve de créativité avec le numérique.</t>
        </r>
        <r>
          <rPr>
            <b/>
            <sz val="9"/>
            <color indexed="81"/>
            <rFont val="Tahoma"/>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Demers, Geneviève</author>
  </authors>
  <commentList>
    <comment ref="A29" authorId="0" shapeId="0" xr:uid="{354850D8-4919-4575-8F6D-828D3279AAE2}">
      <text>
        <r>
          <rPr>
            <b/>
            <sz val="9"/>
            <color indexed="81"/>
            <rFont val="Tahoma"/>
            <family val="2"/>
          </rPr>
          <t xml:space="preserve">
</t>
        </r>
        <r>
          <rPr>
            <sz val="12"/>
            <color indexed="81"/>
            <rFont val="Tahoma"/>
            <family val="2"/>
          </rPr>
          <t>Agir et se comporter de manière respectueuse envers l’école et ce qu’elle représente.</t>
        </r>
        <r>
          <rPr>
            <b/>
            <sz val="9"/>
            <color indexed="81"/>
            <rFont val="Tahoma"/>
            <family val="2"/>
          </rPr>
          <t xml:space="preserve">
</t>
        </r>
      </text>
    </comment>
    <comment ref="A30" authorId="0" shapeId="0" xr:uid="{1CA9DFFD-6CCC-4CCA-934F-F41B45670FCE}">
      <text>
        <r>
          <rPr>
            <sz val="12"/>
            <color indexed="81"/>
            <rFont val="Tahoma"/>
            <family val="2"/>
          </rPr>
          <t xml:space="preserve">Encourager et souligner les actions ou les comportements qui reflètent les valeurs de l’école et de la société québécoise.
</t>
        </r>
      </text>
    </comment>
    <comment ref="A31" authorId="0" shapeId="0" xr:uid="{08474F30-9556-4EE8-B959-94760A92F454}">
      <text>
        <r>
          <rPr>
            <sz val="12"/>
            <color indexed="81"/>
            <rFont val="Tahoma"/>
            <family val="2"/>
          </rPr>
          <t xml:space="preserve">Connaître les enjeux éthiques propres à la pratique de l’enseignement afin d’agir avec intégrité dans l’exercice de ses fonctions.
</t>
        </r>
      </text>
    </comment>
    <comment ref="A32" authorId="0" shapeId="0" xr:uid="{809C4A15-595E-4F88-BAAC-E47509D9AE39}">
      <text>
        <r>
          <rPr>
            <sz val="12"/>
            <color indexed="81"/>
            <rFont val="Tahoma"/>
            <family val="2"/>
          </rPr>
          <t>Tenir compte du cadre légal en vigueur dans l’exercice de ses droits et de ses responsabilités professionnelles.</t>
        </r>
        <r>
          <rPr>
            <b/>
            <sz val="9"/>
            <color indexed="81"/>
            <rFont val="Tahoma"/>
            <family val="2"/>
          </rPr>
          <t xml:space="preserve">
</t>
        </r>
      </text>
    </comment>
    <comment ref="A33" authorId="0" shapeId="0" xr:uid="{4A8EF41E-0B51-4579-BFB7-C36D400F9A6A}">
      <text>
        <r>
          <rPr>
            <sz val="12"/>
            <color indexed="81"/>
            <rFont val="Tahoma"/>
            <family val="2"/>
          </rPr>
          <t>Agir avec vigilance et diligence pour protéger la confidentialité de l’information qui se rapporte à la vie privée des élèves et des autres actrices et acteurs éducatifs.</t>
        </r>
        <r>
          <rPr>
            <b/>
            <sz val="9"/>
            <color indexed="81"/>
            <rFont val="Tahoma"/>
            <family val="2"/>
          </rPr>
          <t xml:space="preserve">
</t>
        </r>
      </text>
    </comment>
    <comment ref="A34" authorId="0" shapeId="0" xr:uid="{FD50CF69-45CC-44B9-9D3E-F6DE9BD80BEF}">
      <text>
        <r>
          <rPr>
            <sz val="12"/>
            <color indexed="81"/>
            <rFont val="Tahoma"/>
            <family val="2"/>
          </rPr>
          <t>Respecter les rôles et les responsabilités des personnes engagées dans la communauté éducative.</t>
        </r>
        <r>
          <rPr>
            <b/>
            <sz val="9"/>
            <color indexed="81"/>
            <rFont val="Tahoma"/>
            <family val="2"/>
          </rPr>
          <t xml:space="preserve">
</t>
        </r>
      </text>
    </comment>
    <comment ref="A35" authorId="0" shapeId="0" xr:uid="{82B87357-FC5C-4B3C-9F7A-42BF3AEE925F}">
      <text>
        <r>
          <rPr>
            <sz val="12"/>
            <color indexed="81"/>
            <rFont val="Tahoma"/>
            <family val="2"/>
          </rPr>
          <t>Dénoncer et déconstruire les savoirs, les pratiques, les attitudes et les processus qui produisent ou reproduisent, en contexte éducatif, des situations d’exclusion et de discrimination.</t>
        </r>
        <r>
          <rPr>
            <b/>
            <sz val="9"/>
            <color indexed="81"/>
            <rFont val="Tahoma"/>
            <family val="2"/>
          </rPr>
          <t xml:space="preserve">
</t>
        </r>
      </text>
    </comment>
    <comment ref="A36" authorId="0" shapeId="0" xr:uid="{2A8BD335-4032-4020-BFB6-F6C669233398}">
      <text>
        <r>
          <rPr>
            <sz val="12"/>
            <color indexed="81"/>
            <rFont val="Tahoma"/>
            <family val="2"/>
          </rPr>
          <t>Adopter des pratiques et attitudes équitables, transparentes et inclusives pour prévenir toute forme de discrimination auprès des élèves, de ses collègues et de la communauté.</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Demers, Geneviève</author>
  </authors>
  <commentList>
    <comment ref="A29" authorId="0" shapeId="0" xr:uid="{4937C9AD-5645-4CA7-A4A0-8327877AECB8}">
      <text>
        <r>
          <rPr>
            <sz val="12"/>
            <color indexed="81"/>
            <rFont val="Tahoma"/>
            <family val="2"/>
          </rPr>
          <t xml:space="preserve">Maîtriser les règles et les usages de la langue orale, écrite et illustrée dans l’ensemble de ses communications avec la communauté. </t>
        </r>
        <r>
          <rPr>
            <sz val="9"/>
            <color indexed="81"/>
            <rFont val="Tahoma"/>
            <family val="2"/>
          </rPr>
          <t xml:space="preserve">
</t>
        </r>
      </text>
    </comment>
    <comment ref="A30" authorId="0" shapeId="0" xr:uid="{CD18B71C-0ACF-4933-8EA9-97B5FBB28158}">
      <text>
        <r>
          <rPr>
            <sz val="12"/>
            <color indexed="81"/>
            <rFont val="Tahoma"/>
            <family val="2"/>
          </rPr>
          <t xml:space="preserve">Démontrer la capacité de soutenir ses idées de manière cohérente, intelligible, critique et respectueuse dans ses communications, à l’oral comme à l’écrit. </t>
        </r>
        <r>
          <rPr>
            <sz val="9"/>
            <color indexed="81"/>
            <rFont val="Tahoma"/>
            <family val="2"/>
          </rPr>
          <t xml:space="preserve">
</t>
        </r>
      </text>
    </comment>
    <comment ref="A31" authorId="0" shapeId="0" xr:uid="{D0F117FB-AF43-4A6F-B1EE-11E5C4EE008E}">
      <text>
        <r>
          <rPr>
            <sz val="12"/>
            <color indexed="81"/>
            <rFont val="Tahoma"/>
            <family val="2"/>
          </rPr>
          <t xml:space="preserve">Employer un registre de langue approprié dans ses interventions auprès des élèves, des parents et de ses pairs. </t>
        </r>
        <r>
          <rPr>
            <b/>
            <sz val="9"/>
            <color indexed="81"/>
            <rFont val="Tahoma"/>
            <family val="2"/>
          </rPr>
          <t xml:space="preserve">
</t>
        </r>
      </text>
    </comment>
    <comment ref="A32" authorId="0" shapeId="0" xr:uid="{A0A8AC93-2E32-43C7-B390-6FFC2F4429A1}">
      <text>
        <r>
          <rPr>
            <sz val="12"/>
            <color indexed="81"/>
            <rFont val="Tahoma"/>
            <family val="2"/>
          </rPr>
          <t>Intégrer, dans la planification de son enseignement, des outils visant à promouvoir la langue d’enseignement comme objet de culture.</t>
        </r>
        <r>
          <rPr>
            <sz val="9"/>
            <color indexed="81"/>
            <rFont val="Tahoma"/>
            <family val="2"/>
          </rPr>
          <t xml:space="preserve">
</t>
        </r>
      </text>
    </comment>
    <comment ref="A33" authorId="0" shapeId="0" xr:uid="{F6292F6D-31A6-4CF4-AEC1-962D5A88B9AA}">
      <text>
        <r>
          <rPr>
            <sz val="12"/>
            <color indexed="81"/>
            <rFont val="Tahoma"/>
            <family val="2"/>
          </rPr>
          <t xml:space="preserve">Recourir aux différents modes d’expression de la langue (visuel, spatial, sonore et gestuel) pour soutenir le développement des compétences langagières des élèves. </t>
        </r>
        <r>
          <rPr>
            <sz val="9"/>
            <color indexed="81"/>
            <rFont val="Tahoma"/>
            <family val="2"/>
          </rPr>
          <t xml:space="preserve">
</t>
        </r>
      </text>
    </comment>
    <comment ref="A34" authorId="0" shapeId="0" xr:uid="{F9B58983-C42E-4969-B4CD-7C50009505CE}">
      <text>
        <r>
          <rPr>
            <sz val="12"/>
            <color indexed="81"/>
            <rFont val="Tahoma"/>
            <family val="2"/>
          </rPr>
          <t xml:space="preserve">Prendre appui sur la langue maternelle des élèves et la valoriser pour favoriser l’acquisition de la langue d’enseignement. </t>
        </r>
        <r>
          <rPr>
            <b/>
            <sz val="9"/>
            <color indexed="81"/>
            <rFont val="Tahoma"/>
            <family val="2"/>
          </rPr>
          <t xml:space="preserve">
</t>
        </r>
      </text>
    </comment>
    <comment ref="A35" authorId="0" shapeId="0" xr:uid="{C9B6297B-65FC-404A-B791-423C0D23BEF8}">
      <text>
        <r>
          <rPr>
            <sz val="12"/>
            <color indexed="81"/>
            <rFont val="Tahoma"/>
            <family val="2"/>
          </rPr>
          <t xml:space="preserve">Vérifier la qualité de la langue des élèves, leur offrir une rétroaction fréquente et les amener à se corriger et à développer leur capacité à intégrer les règles et les usages de la langue orale et écrite. 
</t>
        </r>
        <r>
          <rPr>
            <sz val="9"/>
            <color indexed="81"/>
            <rFont val="Tahoma"/>
            <family val="2"/>
          </rPr>
          <t xml:space="preserve">
</t>
        </r>
      </text>
    </comment>
    <comment ref="A36" authorId="0" shapeId="0" xr:uid="{71853029-5021-490F-89A8-31F8F71394BF}">
      <text>
        <r>
          <rPr>
            <sz val="12"/>
            <color indexed="81"/>
            <rFont val="Tahoma"/>
            <family val="2"/>
          </rPr>
          <t xml:space="preserve">Communiquer de façon claire, précise et constructive les apprentissages effectués et toute autre information servant à soutenir l’élève dans ses apprentissages.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Demers, Geneviève</author>
  </authors>
  <commentList>
    <comment ref="A29" authorId="0" shapeId="0" xr:uid="{97C47BDD-429C-4D6F-9A53-05DD22BEB167}">
      <text>
        <r>
          <rPr>
            <sz val="12"/>
            <color indexed="81"/>
            <rFont val="Tahoma"/>
            <family val="2"/>
          </rPr>
          <t>Élaborer des séquences et des situations d’enseignement et d’apprentissage qui tiennent compte de la logique des contenus des programmes d’études, des connaissances préalables des élèves et de leurs préconceptions dans une perspective de planification des apprentissages à court, à moyen et à long terme.</t>
        </r>
        <r>
          <rPr>
            <b/>
            <sz val="9"/>
            <color indexed="81"/>
            <rFont val="Tahoma"/>
            <family val="2"/>
          </rPr>
          <t xml:space="preserve">
</t>
        </r>
      </text>
    </comment>
    <comment ref="A30" authorId="0" shapeId="0" xr:uid="{7CD34203-7B14-4590-9062-B976DDD6B7DA}">
      <text>
        <r>
          <rPr>
            <sz val="12"/>
            <color indexed="81"/>
            <rFont val="Tahoma"/>
            <family val="2"/>
          </rPr>
          <t>Cerner, dans les programmes d’études, les concepts clés, les stratégies, les repères culturels et les connaissances autour desquels les situations d’enseignement et d’apprentissage seront organisées et les adapter à ses élèves.</t>
        </r>
        <r>
          <rPr>
            <b/>
            <sz val="9"/>
            <color indexed="81"/>
            <rFont val="Tahoma"/>
            <family val="2"/>
          </rPr>
          <t xml:space="preserve">
</t>
        </r>
      </text>
    </comment>
    <comment ref="A31" authorId="0" shapeId="0" xr:uid="{314B2C6C-756C-4888-9B7D-9C135BEB25EB}">
      <text>
        <r>
          <rPr>
            <sz val="12"/>
            <color indexed="81"/>
            <rFont val="Tahoma"/>
            <family val="2"/>
          </rPr>
          <t>Vérifier la cohérence entre les intentions pédagogiques, les situations d’enseignement et d’apprentissage et les modalités d’évaluation planifiées.</t>
        </r>
        <r>
          <rPr>
            <b/>
            <sz val="9"/>
            <color indexed="81"/>
            <rFont val="Tahoma"/>
            <family val="2"/>
          </rPr>
          <t xml:space="preserve">
</t>
        </r>
      </text>
    </comment>
    <comment ref="A32" authorId="0" shapeId="0" xr:uid="{5C0F4A25-E060-423E-91CC-D4BFB9B84C73}">
      <text>
        <r>
          <rPr>
            <sz val="12"/>
            <color indexed="81"/>
            <rFont val="Tahoma"/>
            <family val="2"/>
          </rPr>
          <t xml:space="preserve">
Tenir compte de l’hétérogénéité du groupe dans le choix du matériel et la préparation des situations d’enseignement et d’apprentissage : diversité de genre, ethnique, socioéconomique, culturelle, religieuse, linguistique ou liée à un handicap; conceptions, besoins et champs d’intérêt des élèves.
</t>
        </r>
      </text>
    </comment>
    <comment ref="A33" authorId="0" shapeId="0" xr:uid="{E458D527-7D6C-4DFA-A499-A4D6BD6CA909}">
      <text>
        <r>
          <rPr>
            <sz val="12"/>
            <color indexed="81"/>
            <rFont val="Tahoma"/>
            <family val="2"/>
          </rPr>
          <t>Prévoir des activités de préparation, d’intégration, de transfert et de réinvestissement des apprentissages en vue d’optimiser le développement des compétences.</t>
        </r>
        <r>
          <rPr>
            <b/>
            <sz val="9"/>
            <color indexed="81"/>
            <rFont val="Tahoma"/>
            <family val="2"/>
          </rPr>
          <t xml:space="preserve">
</t>
        </r>
      </text>
    </comment>
    <comment ref="A34" authorId="0" shapeId="0" xr:uid="{EECF65AB-2271-41CB-9FBD-A6DCD60BBBE3}">
      <text>
        <r>
          <rPr>
            <sz val="12"/>
            <color indexed="81"/>
            <rFont val="Tahoma"/>
            <family val="2"/>
          </rPr>
          <t>Appuyer le choix de ses stratégies d’intervention sur des données de recherche en matière de didactique et de pédagogie.</t>
        </r>
        <r>
          <rPr>
            <b/>
            <sz val="9"/>
            <color indexed="81"/>
            <rFont val="Tahoma"/>
            <family val="2"/>
          </rPr>
          <t xml:space="preserve">
</t>
        </r>
      </text>
    </comment>
    <comment ref="A35" authorId="0" shapeId="0" xr:uid="{9ADD178D-8B74-480A-847E-E85E778F2C39}">
      <text>
        <r>
          <rPr>
            <sz val="12"/>
            <color indexed="81"/>
            <rFont val="Tahoma"/>
            <family val="2"/>
          </rPr>
          <t>Prévoir les moyens de présenter les contenus de manière structurée afin que les élèves puissent en saisir les éléments pertinents et comprendre leur caractère contingent.</t>
        </r>
        <r>
          <rPr>
            <b/>
            <sz val="9"/>
            <color indexed="81"/>
            <rFont val="Tahoma"/>
            <family val="2"/>
          </rPr>
          <t xml:space="preserve">
</t>
        </r>
      </text>
    </comment>
    <comment ref="A36" authorId="0" shapeId="0" xr:uid="{25757D35-8AA7-4DDC-9430-BD285DF012A9}">
      <text>
        <r>
          <rPr>
            <sz val="12"/>
            <color indexed="81"/>
            <rFont val="Tahoma"/>
            <family val="2"/>
          </rPr>
          <t>Veiller à ce que l’organisation spatiale et physique de la classe ou de ce qui en tient lieu offre, en fonction du contexte matériel et organisationnel, des conditions d’apprentissage optimales et sécuritaires pour toutes et tous.</t>
        </r>
        <r>
          <rPr>
            <b/>
            <sz val="9"/>
            <color indexed="81"/>
            <rFont val="Tahoma"/>
            <family val="2"/>
          </rPr>
          <t xml:space="preserve">
</t>
        </r>
      </text>
    </comment>
    <comment ref="A37" authorId="0" shapeId="0" xr:uid="{CE3C2CAF-16C4-4386-9BC9-10BEC6621BA5}">
      <text>
        <r>
          <rPr>
            <sz val="12"/>
            <color indexed="81"/>
            <rFont val="Tahoma"/>
            <family val="2"/>
          </rPr>
          <t>Prévoir le temps nécessaire à chaque étape de la situation d’enseignement et d’apprentissage.</t>
        </r>
        <r>
          <rPr>
            <b/>
            <sz val="9"/>
            <color indexed="81"/>
            <rFont val="Tahoma"/>
            <family val="2"/>
          </rPr>
          <t xml:space="preserve">
</t>
        </r>
      </text>
    </comment>
    <comment ref="A38" authorId="0" shapeId="0" xr:uid="{CE7B7FF5-2336-42D8-8BE0-A5E8FFE4D753}">
      <text>
        <r>
          <rPr>
            <sz val="12"/>
            <color indexed="81"/>
            <rFont val="Tahoma"/>
            <family val="2"/>
          </rPr>
          <t>Tenir compte, dans sa planification, des activités qui peuvent se dérouler en même temps que l’enseignement en classe (soutien linguistique, orthopédagogie, etc.).</t>
        </r>
        <r>
          <rPr>
            <b/>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Demers, Geneviève</author>
  </authors>
  <commentList>
    <comment ref="A29" authorId="0" shapeId="0" xr:uid="{91995271-76B5-414A-8F3D-AFDCD392C6AE}">
      <text>
        <r>
          <rPr>
            <sz val="12"/>
            <color indexed="81"/>
            <rFont val="Tahoma"/>
            <family val="2"/>
          </rPr>
          <t>Présenter aux élèves l’intention pédagogique des situations d’enseignement et d’apprentissage, les compétences visées, les consignes à suivre, les attentes établies et le déroulement de ces situations tout en mettant en évidence leur pertinence au regard des apprentissages antérieurs et ultérieurs.</t>
        </r>
        <r>
          <rPr>
            <b/>
            <sz val="9"/>
            <color indexed="81"/>
            <rFont val="Tahoma"/>
            <family val="2"/>
          </rPr>
          <t xml:space="preserve">
</t>
        </r>
      </text>
    </comment>
    <comment ref="A30" authorId="0" shapeId="0" xr:uid="{207CA7C8-DB91-414E-BC21-04A7441443E5}">
      <text>
        <r>
          <rPr>
            <sz val="12"/>
            <color indexed="81"/>
            <rFont val="Tahoma"/>
            <family val="2"/>
          </rPr>
          <t>Vérifier les préconceptions des élèves et réactiver les connaissances préalables aux situations d’enseignement et d’apprentissage</t>
        </r>
        <r>
          <rPr>
            <b/>
            <sz val="9"/>
            <color indexed="81"/>
            <rFont val="Tahoma"/>
            <family val="2"/>
          </rPr>
          <t xml:space="preserve">
</t>
        </r>
      </text>
    </comment>
    <comment ref="A31" authorId="0" shapeId="0" xr:uid="{72BAA03B-1578-47B0-B62B-171CB6D5A8FC}">
      <text>
        <r>
          <rPr>
            <sz val="12"/>
            <color indexed="81"/>
            <rFont val="Tahoma"/>
            <family val="2"/>
          </rPr>
          <t>Mettre en place diverses approches et stratégies ainsi que des tâches stimulantes et variées afin de susciter et de maintenir chez les élèves un engagement actif dans la tâche et de cultiver leur autonomie.</t>
        </r>
        <r>
          <rPr>
            <b/>
            <sz val="9"/>
            <color indexed="81"/>
            <rFont val="Tahoma"/>
            <family val="2"/>
          </rPr>
          <t xml:space="preserve">
</t>
        </r>
      </text>
    </comment>
    <comment ref="A32" authorId="0" shapeId="0" xr:uid="{235A1890-102A-4DEE-834B-3E1ACD702698}">
      <text>
        <r>
          <rPr>
            <sz val="12"/>
            <color indexed="81"/>
            <rFont val="Tahoma"/>
            <family val="2"/>
          </rPr>
          <t>Utiliser les rétroactions pour procéder à une vérification continuelle de la compréhension des concepts, des connaissances, des stratégies ou des règles en jeu.</t>
        </r>
        <r>
          <rPr>
            <b/>
            <sz val="9"/>
            <color indexed="81"/>
            <rFont val="Tahoma"/>
            <family val="2"/>
          </rPr>
          <t xml:space="preserve">
</t>
        </r>
      </text>
    </comment>
    <comment ref="A33" authorId="0" shapeId="0" xr:uid="{229A3931-35C0-48E6-82AB-96CDE78462F9}">
      <text>
        <r>
          <rPr>
            <sz val="12"/>
            <color indexed="81"/>
            <rFont val="Tahoma"/>
            <family val="2"/>
          </rPr>
          <t>Ajuster les modalités de travail en fonction de la nature des compétences à développer, de la complexité de la tâche, du temps disponible et du niveau de réussite des élèves.</t>
        </r>
        <r>
          <rPr>
            <b/>
            <sz val="9"/>
            <color indexed="81"/>
            <rFont val="Tahoma"/>
            <family val="2"/>
          </rPr>
          <t xml:space="preserve">
</t>
        </r>
      </text>
    </comment>
    <comment ref="A34" authorId="0" shapeId="0" xr:uid="{B563B971-DFD9-4079-B625-5D98D20325AC}">
      <text>
        <r>
          <rPr>
            <sz val="12"/>
            <color indexed="81"/>
            <rFont val="Tahoma"/>
            <family val="2"/>
          </rPr>
          <t xml:space="preserve">Proposer des occasions de retour réflexif pour favoriser chez les élèves la capacité de faire la synthèse des apprentissages effectués. </t>
        </r>
        <r>
          <rPr>
            <b/>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Demers, Geneviève</author>
  </authors>
  <commentList>
    <comment ref="A29" authorId="0" shapeId="0" xr:uid="{4A96D284-A9E8-47E5-BCAC-2BAA4CAF45D5}">
      <text>
        <r>
          <rPr>
            <sz val="12"/>
            <color indexed="81"/>
            <rFont val="Tahoma"/>
            <family val="2"/>
          </rPr>
          <t>Concevoir ou choisir des instruments ou des modalités d’évaluation qui s’appuient sur les programmes d’études et permettent de vérifier les apprentissages effectués par les élèves.</t>
        </r>
        <r>
          <rPr>
            <b/>
            <sz val="9"/>
            <color indexed="81"/>
            <rFont val="Tahoma"/>
            <family val="2"/>
          </rPr>
          <t xml:space="preserve">
</t>
        </r>
      </text>
    </comment>
    <comment ref="A30" authorId="0" shapeId="0" xr:uid="{E7532AE1-B06B-43B8-8511-871B40D775CD}">
      <text>
        <r>
          <rPr>
            <sz val="12"/>
            <color indexed="81"/>
            <rFont val="Tahoma"/>
            <family val="2"/>
          </rPr>
          <t>Utiliser des modalités d’évaluation appropriées pour l’objet évalué.</t>
        </r>
        <r>
          <rPr>
            <b/>
            <sz val="9"/>
            <color indexed="81"/>
            <rFont val="Tahoma"/>
            <family val="2"/>
          </rPr>
          <t xml:space="preserve">
</t>
        </r>
      </text>
    </comment>
    <comment ref="A31" authorId="0" shapeId="0" xr:uid="{0313E50B-D65A-4202-82C0-A81F5DA95D57}">
      <text>
        <r>
          <rPr>
            <sz val="12"/>
            <color indexed="81"/>
            <rFont val="Tahoma"/>
            <family val="2"/>
          </rPr>
          <t>Concevoir ou choisir des outils d’évaluation qui sont signifiants pour les élèves.</t>
        </r>
        <r>
          <rPr>
            <b/>
            <sz val="9"/>
            <color indexed="81"/>
            <rFont val="Tahoma"/>
            <family val="2"/>
          </rPr>
          <t xml:space="preserve">
</t>
        </r>
      </text>
    </comment>
    <comment ref="A32" authorId="0" shapeId="0" xr:uid="{5DE0BF50-2A04-4415-98AA-55ED1C9CAED0}">
      <text>
        <r>
          <rPr>
            <sz val="12"/>
            <color indexed="81"/>
            <rFont val="Tahoma"/>
            <family val="2"/>
          </rPr>
          <t>Repérer les forces ainsi que les défis des élèves et prévoir des interventions appropriées qui favoriseront leurs apprentissages.</t>
        </r>
        <r>
          <rPr>
            <b/>
            <sz val="9"/>
            <color indexed="81"/>
            <rFont val="Tahoma"/>
            <family val="2"/>
          </rPr>
          <t xml:space="preserve">
</t>
        </r>
      </text>
    </comment>
    <comment ref="A33" authorId="0" shapeId="0" xr:uid="{6795B29A-A16C-4D1B-919C-8376BEFD2B01}">
      <text>
        <r>
          <rPr>
            <sz val="12"/>
            <color indexed="81"/>
            <rFont val="Tahoma"/>
            <family val="2"/>
          </rPr>
          <t>Utiliser l’information récoltée par l’entremise des différentes modalités d’évaluation pour avoir une vue d’ensemble de son groupe-classe et planifier son enseignement en conséquence.</t>
        </r>
        <r>
          <rPr>
            <b/>
            <sz val="9"/>
            <color indexed="81"/>
            <rFont val="Tahoma"/>
            <family val="2"/>
          </rPr>
          <t xml:space="preserve">
</t>
        </r>
      </text>
    </comment>
    <comment ref="A34" authorId="0" shapeId="0" xr:uid="{F5DD885C-F751-4DAE-AE5D-70DE0E7AD315}">
      <text>
        <r>
          <rPr>
            <sz val="12"/>
            <color indexed="81"/>
            <rFont val="Tahoma"/>
            <family val="2"/>
          </rPr>
          <t>Donner des rétroactions fréquentes et constructives à l’élève pour lui permettre de se situer dans ses apprentissages et soutenir sa progression.</t>
        </r>
        <r>
          <rPr>
            <b/>
            <sz val="9"/>
            <color indexed="81"/>
            <rFont val="Tahoma"/>
            <family val="2"/>
          </rPr>
          <t xml:space="preserve">
</t>
        </r>
      </text>
    </comment>
    <comment ref="A35" authorId="0" shapeId="0" xr:uid="{099D3DA6-834D-45FA-A36B-15A09991BCFA}">
      <text>
        <r>
          <rPr>
            <sz val="12"/>
            <color indexed="81"/>
            <rFont val="Tahoma"/>
            <family val="2"/>
          </rPr>
          <t>Prévoir des modalités d’évaluation variées pour offrir à tous les élèves l’occasion de démontrer les apprentissages effectués.</t>
        </r>
        <r>
          <rPr>
            <b/>
            <sz val="9"/>
            <color indexed="81"/>
            <rFont val="Tahoma"/>
            <family val="2"/>
          </rPr>
          <t xml:space="preserve">
</t>
        </r>
      </text>
    </comment>
    <comment ref="A36" authorId="0" shapeId="0" xr:uid="{AABE0E90-9BD0-4BA8-A60A-70C666C960B6}">
      <text>
        <r>
          <rPr>
            <sz val="12"/>
            <color indexed="81"/>
            <rFont val="Tahoma"/>
            <family val="2"/>
          </rPr>
          <t>Connaître et respecter les balises ministérielles en matière d’évaluation des élèves.</t>
        </r>
        <r>
          <rPr>
            <b/>
            <sz val="9"/>
            <color indexed="81"/>
            <rFont val="Tahoma"/>
            <family val="2"/>
          </rPr>
          <t xml:space="preserve">
</t>
        </r>
      </text>
    </comment>
    <comment ref="A37" authorId="0" shapeId="0" xr:uid="{5EAF893B-76F0-455F-9544-A8B36D22AAE2}">
      <text>
        <r>
          <rPr>
            <sz val="12"/>
            <color indexed="81"/>
            <rFont val="Tahoma"/>
            <family val="2"/>
          </rPr>
          <t xml:space="preserve">Connaître et respecter les attentes des organismes scolaires relativement au partage et aux responsabilités en matière d’évaluation et de communication des résultats de celle-ci. </t>
        </r>
        <r>
          <rPr>
            <b/>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Demers, Geneviève</author>
  </authors>
  <commentList>
    <comment ref="A29" authorId="0" shapeId="0" xr:uid="{0BDA1B87-D530-4BEB-8D4A-7BD7EAB805CF}">
      <text>
        <r>
          <rPr>
            <sz val="9"/>
            <color indexed="81"/>
            <rFont val="Tahoma"/>
            <family val="2"/>
          </rPr>
          <t xml:space="preserve">
</t>
        </r>
        <r>
          <rPr>
            <sz val="12"/>
            <color indexed="81"/>
            <rFont val="Tahoma"/>
            <family val="2"/>
          </rPr>
          <t>Construire et maintenir des relations positives avec les élèves pour susciter leur adhésion et leur contribution au fonctionnement de la classe.</t>
        </r>
        <r>
          <rPr>
            <sz val="9"/>
            <color indexed="81"/>
            <rFont val="Tahoma"/>
            <family val="2"/>
          </rPr>
          <t xml:space="preserve">
</t>
        </r>
      </text>
    </comment>
    <comment ref="A30" authorId="0" shapeId="0" xr:uid="{18201CBD-0778-44D3-BA34-54F9B917A145}">
      <text>
        <r>
          <rPr>
            <sz val="12"/>
            <color indexed="81"/>
            <rFont val="Tahoma"/>
            <family val="2"/>
          </rPr>
          <t>Instaurer, de concert avec les élèves, un climat de classe respectueux et sécurisant favorisant la progression des apprentissages et revoir périodiquement avec eux les comportements attendus.</t>
        </r>
        <r>
          <rPr>
            <b/>
            <sz val="9"/>
            <color indexed="81"/>
            <rFont val="Tahoma"/>
            <family val="2"/>
          </rPr>
          <t xml:space="preserve">
</t>
        </r>
      </text>
    </comment>
    <comment ref="A31" authorId="0" shapeId="0" xr:uid="{4CE0943D-1B2F-4E2A-AB37-A55C5BB6A75A}">
      <text>
        <r>
          <rPr>
            <sz val="12"/>
            <color indexed="81"/>
            <rFont val="Tahoma"/>
            <family val="2"/>
          </rPr>
          <t>Aider les élèves à reconnaître et à gérer adéquatement leurs comportements et leurs émotions.</t>
        </r>
        <r>
          <rPr>
            <b/>
            <sz val="9"/>
            <color indexed="81"/>
            <rFont val="Tahoma"/>
            <family val="2"/>
          </rPr>
          <t xml:space="preserve">
</t>
        </r>
      </text>
    </comment>
    <comment ref="A32" authorId="0" shapeId="0" xr:uid="{4ED58282-F61D-459D-9A8B-2D4FC707758E}">
      <text>
        <r>
          <rPr>
            <sz val="12"/>
            <color indexed="81"/>
            <rFont val="Tahoma"/>
            <family val="2"/>
          </rPr>
          <t>Choisir et mettre en œuvre des interventions permettant aux élèves de développer leurs habiletés sociales et relationnelles.</t>
        </r>
        <r>
          <rPr>
            <b/>
            <sz val="9"/>
            <color indexed="81"/>
            <rFont val="Tahoma"/>
            <family val="2"/>
          </rPr>
          <t xml:space="preserve">
</t>
        </r>
      </text>
    </comment>
    <comment ref="A33" authorId="0" shapeId="0" xr:uid="{585EEFC2-3870-4C73-94D8-BD2B99190B33}">
      <text>
        <r>
          <rPr>
            <sz val="12"/>
            <color indexed="81"/>
            <rFont val="Tahoma"/>
            <family val="2"/>
          </rPr>
          <t>Repérer chez les élèves les manifestations de démotivation ou d’incompréhension et mettre en œuvre les moyens nécessaires pour y remédier.</t>
        </r>
        <r>
          <rPr>
            <b/>
            <sz val="9"/>
            <color indexed="81"/>
            <rFont val="Tahoma"/>
            <family val="2"/>
          </rPr>
          <t xml:space="preserve">
</t>
        </r>
      </text>
    </comment>
    <comment ref="A34" authorId="0" shapeId="0" xr:uid="{24907CCB-81D8-4D85-9813-F10EB1BA1D85}">
      <text>
        <r>
          <rPr>
            <sz val="12"/>
            <color indexed="81"/>
            <rFont val="Tahoma"/>
            <family val="2"/>
          </rPr>
          <t>Veiller à une gestion efficace du temps imparti à l’enseignement et à l’apprentissage.</t>
        </r>
        <r>
          <rPr>
            <b/>
            <sz val="9"/>
            <color indexed="81"/>
            <rFont val="Tahoma"/>
            <family val="2"/>
          </rPr>
          <t xml:space="preserve">
</t>
        </r>
      </text>
    </comment>
    <comment ref="A35" authorId="0" shapeId="0" xr:uid="{E2612355-620D-42F1-89D4-0B32DB599CF4}">
      <text>
        <r>
          <rPr>
            <sz val="12"/>
            <color indexed="81"/>
            <rFont val="Tahoma"/>
            <family val="2"/>
          </rPr>
          <t>Gérer l’organisation spatiale et physique de la classe afin d’offrir des conditions d’apprentissage optimales et sécuritaires pour toutes et tous.</t>
        </r>
        <r>
          <rPr>
            <b/>
            <sz val="9"/>
            <color indexed="81"/>
            <rFont val="Tahoma"/>
            <family val="2"/>
          </rPr>
          <t xml:space="preserve">
</t>
        </r>
      </text>
    </comment>
    <comment ref="A36" authorId="0" shapeId="0" xr:uid="{C9B63779-1E50-47D1-85DD-AF05DAD7C9C7}">
      <text>
        <r>
          <rPr>
            <sz val="12"/>
            <color indexed="81"/>
            <rFont val="Tahoma"/>
            <family val="2"/>
          </rPr>
          <t xml:space="preserve">Rappeler les mesures de sécurité en place et s’assurer de leur respect, notamment lors d’activités se déroulant au gymnase, en laboratoire ou en atelier ou encore au cours des sorties scolaires.
</t>
        </r>
      </text>
    </comment>
    <comment ref="A37" authorId="0" shapeId="0" xr:uid="{3D293C87-90E1-4977-92E3-595BA6A3721A}">
      <text>
        <r>
          <rPr>
            <sz val="12"/>
            <color indexed="81"/>
            <rFont val="Tahoma"/>
            <family val="2"/>
          </rPr>
          <t xml:space="preserve">Consigner les faits relatifs aux comportements inappropriés et en assurer le suivi. </t>
        </r>
        <r>
          <rPr>
            <b/>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Demers, Geneviève</author>
  </authors>
  <commentList>
    <comment ref="A29" authorId="0" shapeId="0" xr:uid="{0401A8F4-285E-4003-AE64-7DC99946AF78}">
      <text>
        <r>
          <rPr>
            <sz val="12"/>
            <color indexed="81"/>
            <rFont val="Tahoma"/>
            <family val="2"/>
          </rPr>
          <t>Moduler les situations d’enseignement et d’apprentissage et le soutien offert aux élèves en fonction de leurs besoins, de leurs défis et de leurs capacités.</t>
        </r>
        <r>
          <rPr>
            <b/>
            <sz val="9"/>
            <color indexed="81"/>
            <rFont val="Tahoma"/>
            <family val="2"/>
          </rPr>
          <t xml:space="preserve">
</t>
        </r>
      </text>
    </comment>
    <comment ref="A30" authorId="0" shapeId="0" xr:uid="{34EB84F0-04CA-42AD-857F-7FF2E1AE1D72}">
      <text>
        <r>
          <rPr>
            <sz val="12"/>
            <color indexed="81"/>
            <rFont val="Tahoma"/>
            <family val="2"/>
          </rPr>
          <t xml:space="preserve">Utiliser les ressources disponibles pour répondre à des besoins ou surmonter des obstacles en matière d’apprentissage.
</t>
        </r>
      </text>
    </comment>
    <comment ref="A31" authorId="0" shapeId="0" xr:uid="{F0766362-0026-4EF8-8009-F94522E26431}">
      <text>
        <r>
          <rPr>
            <sz val="12"/>
            <color indexed="81"/>
            <rFont val="Tahoma"/>
            <family val="2"/>
          </rPr>
          <t>Privilégier des modalités de regroupement qui tiennent compte des intentions pédagogiques et des besoins d’apprentissage différencié des élèves.</t>
        </r>
        <r>
          <rPr>
            <b/>
            <sz val="9"/>
            <color indexed="81"/>
            <rFont val="Tahoma"/>
            <family val="2"/>
          </rPr>
          <t xml:space="preserve">
</t>
        </r>
      </text>
    </comment>
    <comment ref="A32" authorId="0" shapeId="0" xr:uid="{13233973-4D47-4C9C-8CC3-2CB733556CED}">
      <text>
        <r>
          <rPr>
            <sz val="12"/>
            <color indexed="81"/>
            <rFont val="Tahoma"/>
            <family val="2"/>
          </rPr>
          <t>Appliquer des mesures de flexibilité, d’adaptation ou de modification aux besoins particuliers des élèves en fonction d’objectifs préétablis.</t>
        </r>
        <r>
          <rPr>
            <b/>
            <sz val="9"/>
            <color indexed="81"/>
            <rFont val="Tahoma"/>
            <family val="2"/>
          </rPr>
          <t xml:space="preserve">
</t>
        </r>
      </text>
    </comment>
    <comment ref="A33" authorId="0" shapeId="0" xr:uid="{D43A8E33-05C0-4814-9666-134C1E651BE7}">
      <text>
        <r>
          <rPr>
            <sz val="12"/>
            <color indexed="81"/>
            <rFont val="Tahoma"/>
            <family val="2"/>
          </rPr>
          <t>Favoriser, au sein du groupe-classe, des stratégies d’entraide mettant à profit l’hétérogénéité des élèves et bénéficiant à toutes et à tous.</t>
        </r>
        <r>
          <rPr>
            <b/>
            <sz val="9"/>
            <color indexed="81"/>
            <rFont val="Tahoma"/>
            <family val="2"/>
          </rPr>
          <t xml:space="preserve">
</t>
        </r>
      </text>
    </comment>
    <comment ref="A34" authorId="0" shapeId="0" xr:uid="{58FF68F7-ECB3-4018-9D6E-635A1EF6C985}">
      <text>
        <r>
          <rPr>
            <sz val="12"/>
            <color indexed="81"/>
            <rFont val="Tahoma"/>
            <family val="2"/>
          </rPr>
          <t>Consulter des personnes-ressources, les parents ou la documentation pertinente en ce qui concerne les besoins et le cheminement des élèves, et en tenir compte dans son enseignement.</t>
        </r>
        <r>
          <rPr>
            <b/>
            <sz val="9"/>
            <color indexed="81"/>
            <rFont val="Tahoma"/>
            <family val="2"/>
          </rPr>
          <t xml:space="preserve">
</t>
        </r>
      </text>
    </comment>
    <comment ref="A35" authorId="0" shapeId="0" xr:uid="{7D176D5C-D7D2-4F63-B84B-BB9028821EFC}">
      <text>
        <r>
          <rPr>
            <sz val="12"/>
            <color indexed="81"/>
            <rFont val="Tahoma"/>
            <family val="2"/>
          </rPr>
          <t>Appliquer les modalités de demande de services pour les élèves présentant des difficultés d’adaptation ou d’apprentissage ou encore des signes de déficience ou de handicap.</t>
        </r>
        <r>
          <rPr>
            <b/>
            <sz val="9"/>
            <color indexed="81"/>
            <rFont val="Tahoma"/>
            <family val="2"/>
          </rPr>
          <t xml:space="preserve">
</t>
        </r>
      </text>
    </comment>
    <comment ref="A36" authorId="0" shapeId="0" xr:uid="{21A8124E-85D7-4F3C-AD7D-1FE4350ACB2A}">
      <text>
        <r>
          <rPr>
            <sz val="12"/>
            <color indexed="81"/>
            <rFont val="Tahoma"/>
            <family val="2"/>
          </rPr>
          <t xml:space="preserve">Mettre en œuvre les plans d’intervention ou les plans d’aide à l’apprentissage, en collaboration avec l’équipe-école, et en assurer le suivi. </t>
        </r>
        <r>
          <rPr>
            <b/>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Demers, Geneviève</author>
  </authors>
  <commentList>
    <comment ref="A29" authorId="0" shapeId="0" xr:uid="{4604C792-63BD-45C7-9C22-86A3E4568E28}">
      <text>
        <r>
          <rPr>
            <sz val="12"/>
            <color indexed="81"/>
            <rFont val="Tahoma"/>
            <family val="2"/>
          </rPr>
          <t>Construire et maintenir des relations positives avec les élèves pour susciter leur motivation pour l’apprentissage.</t>
        </r>
        <r>
          <rPr>
            <b/>
            <sz val="9"/>
            <color indexed="81"/>
            <rFont val="Tahoma"/>
            <family val="2"/>
          </rPr>
          <t xml:space="preserve">
</t>
        </r>
      </text>
    </comment>
    <comment ref="A30" authorId="0" shapeId="0" xr:uid="{24A3EF7F-673A-4CDB-A8D9-A57412DA6CF3}">
      <text>
        <r>
          <rPr>
            <sz val="12"/>
            <color indexed="81"/>
            <rFont val="Tahoma"/>
            <family val="2"/>
          </rPr>
          <t>Développer chez les élèves, au moyen d’expériences variées, la capacité à se faire confiance dans leur apprentissage.</t>
        </r>
        <r>
          <rPr>
            <b/>
            <sz val="9"/>
            <color indexed="81"/>
            <rFont val="Tahoma"/>
            <family val="2"/>
          </rPr>
          <t xml:space="preserve">
</t>
        </r>
      </text>
    </comment>
    <comment ref="A31" authorId="0" shapeId="0" xr:uid="{E0989D42-1CFF-4AB8-BDC3-4493079F0D05}">
      <text>
        <r>
          <rPr>
            <sz val="12"/>
            <color indexed="81"/>
            <rFont val="Tahoma"/>
            <family val="2"/>
          </rPr>
          <t>Développer chez les élèves la persévérance dans l’apprentissage par un soutien axé sur leurs efforts et leurs progrès.</t>
        </r>
        <r>
          <rPr>
            <b/>
            <sz val="9"/>
            <color indexed="81"/>
            <rFont val="Tahoma"/>
            <family val="2"/>
          </rPr>
          <t xml:space="preserve">
</t>
        </r>
      </text>
    </comment>
    <comment ref="A32" authorId="0" shapeId="0" xr:uid="{531EC727-C971-4635-9D76-A08E39D5A61D}">
      <text>
        <r>
          <rPr>
            <sz val="12"/>
            <color indexed="81"/>
            <rFont val="Tahoma"/>
            <family val="2"/>
          </rPr>
          <t xml:space="preserve">Encourager chez chaque élève l’utilisation de stratégies d’apprentissage qui valorisent et cultivent son autonomie. </t>
        </r>
        <r>
          <rPr>
            <b/>
            <sz val="9"/>
            <color indexed="81"/>
            <rFont val="Tahoma"/>
            <family val="2"/>
          </rPr>
          <t xml:space="preserve">
</t>
        </r>
      </text>
    </comment>
    <comment ref="A33" authorId="0" shapeId="0" xr:uid="{03896037-A6B3-41CA-9973-B79358FEA8B1}">
      <text>
        <r>
          <rPr>
            <sz val="12"/>
            <color rgb="FF000000"/>
            <rFont val="Tahoma"/>
            <family val="2"/>
          </rPr>
          <t xml:space="preserve">Intégrer aux situations d’enseignement et d’apprentissage des liens avec des éléments de la vie courante et des repères culturels tirés du bagage des élèves.
</t>
        </r>
      </text>
    </comment>
    <comment ref="A34" authorId="0" shapeId="0" xr:uid="{D5133A12-FE05-4113-A3DA-9E48387DD0D7}">
      <text>
        <r>
          <rPr>
            <sz val="12"/>
            <color indexed="81"/>
            <rFont val="Tahoma"/>
            <family val="2"/>
          </rPr>
          <t>Susciter l’intérêt et la curiosité des élèves pour la discipline enseignée, les savoirs et les savoir-faire, les pratiques, les outils et les techniques, les méthodes et les procédures, l’histoire de la discipline ainsi que les enjeux, les réalisations, les acteurs, les courants de pensée et les débats qui ont marqué son évolution.</t>
        </r>
        <r>
          <rPr>
            <b/>
            <sz val="9"/>
            <color indexed="81"/>
            <rFont val="Tahoma"/>
            <family val="2"/>
          </rPr>
          <t xml:space="preserve">
</t>
        </r>
      </text>
    </comment>
    <comment ref="A35" authorId="0" shapeId="0" xr:uid="{31778608-2ED4-475D-BD41-B369F404506F}">
      <text>
        <r>
          <rPr>
            <sz val="12"/>
            <color indexed="81"/>
            <rFont val="Tahoma"/>
            <family val="2"/>
          </rPr>
          <t>Prévoir des situations d’enseignement et d’apprentissage qui mobilisent la curiosité pour les activités d’apprentissage et qui sont susceptibles de correspondre aux champs d’intérêt des élèves.</t>
        </r>
        <r>
          <rPr>
            <b/>
            <sz val="9"/>
            <color indexed="81"/>
            <rFont val="Tahoma"/>
            <family val="2"/>
          </rPr>
          <t xml:space="preserve">
</t>
        </r>
      </text>
    </comment>
    <comment ref="A36" authorId="0" shapeId="0" xr:uid="{4C7511D4-67EC-4C31-B078-D244C557878A}">
      <text>
        <r>
          <rPr>
            <sz val="12"/>
            <color indexed="81"/>
            <rFont val="Tahoma"/>
            <family val="2"/>
          </rPr>
          <t xml:space="preserve">Favoriser le travail collaboratif, les échanges, la participation et l’entraide chez les élèves.
</t>
        </r>
      </text>
    </comment>
    <comment ref="A37" authorId="0" shapeId="0" xr:uid="{93189465-6026-4D73-B780-7DAD731AF601}">
      <text>
        <r>
          <rPr>
            <sz val="12"/>
            <color indexed="81"/>
            <rFont val="Tahoma"/>
            <family val="2"/>
          </rPr>
          <t xml:space="preserve">Amener les élèves à développer leur sentiment d’appartenance en les impliquant dans la vie de la classe et de l’école. </t>
        </r>
        <r>
          <rPr>
            <b/>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Demers, Geneviève</author>
  </authors>
  <commentList>
    <comment ref="A29" authorId="0" shapeId="0" xr:uid="{560D09B0-A023-4A25-AAF1-34AEC383E233}">
      <text>
        <r>
          <rPr>
            <sz val="12"/>
            <color indexed="81"/>
            <rFont val="Tahoma"/>
            <family val="2"/>
          </rPr>
          <t>Collaborer avec les membres de l’équipe-école à la définition et au respect des orientations éducatives et des normes qui font de l’école un milieu sain, sécuritaire et équitable.</t>
        </r>
        <r>
          <rPr>
            <b/>
            <sz val="9"/>
            <color indexed="81"/>
            <rFont val="Tahoma"/>
            <family val="2"/>
          </rPr>
          <t xml:space="preserve">
</t>
        </r>
      </text>
    </comment>
    <comment ref="A30" authorId="0" shapeId="0" xr:uid="{897F9943-E682-4FC9-B565-78111F9F66D6}">
      <text>
        <r>
          <rPr>
            <sz val="12"/>
            <color indexed="81"/>
            <rFont val="Tahoma"/>
            <family val="2"/>
          </rPr>
          <t xml:space="preserve">Contribuer à l’élaboration, à la mise en œuvre et à l’évaluation des politiques, des pratiques et des règlements qui régissent le fonctionnement de l’école.
</t>
        </r>
      </text>
    </comment>
    <comment ref="A31" authorId="0" shapeId="0" xr:uid="{7789A8EB-FEB1-43D3-A2C9-6AACC28ABFDF}">
      <text>
        <r>
          <rPr>
            <sz val="12"/>
            <color indexed="81"/>
            <rFont val="Tahoma"/>
            <family val="2"/>
          </rPr>
          <t>Collaborer avec les membres de l’équipe-école à l’élaboration et à la mise en œuvre du projet éducatif de l’école.</t>
        </r>
        <r>
          <rPr>
            <b/>
            <sz val="9"/>
            <color indexed="81"/>
            <rFont val="Tahoma"/>
            <family val="2"/>
          </rPr>
          <t xml:space="preserve">
</t>
        </r>
      </text>
    </comment>
    <comment ref="A32" authorId="0" shapeId="0" xr:uid="{EB38F131-7D00-45F5-948B-ACBB252ADBE1}">
      <text>
        <r>
          <rPr>
            <sz val="12"/>
            <color indexed="81"/>
            <rFont val="Tahoma"/>
            <family val="2"/>
          </rPr>
          <t>Assumer les responsabilités inscrites dans les dispositions de sa convention collective.</t>
        </r>
        <r>
          <rPr>
            <b/>
            <sz val="9"/>
            <color indexed="81"/>
            <rFont val="Tahoma"/>
            <family val="2"/>
          </rPr>
          <t xml:space="preserve">
</t>
        </r>
      </text>
    </comment>
    <comment ref="A33" authorId="0" shapeId="0" xr:uid="{7521097F-3B77-405E-A691-845BAACA3369}">
      <text>
        <r>
          <rPr>
            <sz val="12"/>
            <color indexed="81"/>
            <rFont val="Tahoma"/>
            <family val="2"/>
          </rPr>
          <t>Travailler de concert avec les membres de l’équipe-école à valoriser, en toutes circonstances, les attitudes et les comportements positifs, sains et sécuritaires.</t>
        </r>
        <r>
          <rPr>
            <b/>
            <sz val="9"/>
            <color indexed="81"/>
            <rFont val="Tahoma"/>
            <family val="2"/>
          </rPr>
          <t xml:space="preserve">
</t>
        </r>
      </text>
    </comment>
    <comment ref="A34" authorId="0" shapeId="0" xr:uid="{0D521D60-A176-4FA2-BEE9-3E707E42DF11}">
      <text>
        <r>
          <rPr>
            <sz val="12"/>
            <color indexed="81"/>
            <rFont val="Tahoma"/>
            <family val="2"/>
          </rPr>
          <t xml:space="preserve">Travailler avec l’équipe enseignante, le cas échéant, à la conception de situations d’enseignement et d’apprentissage et à l’évaluation des apprentissages en conformité avec les normes et modalités d’évaluation des apprentissages en vigueur à l’école.
</t>
        </r>
      </text>
    </comment>
    <comment ref="A35" authorId="0" shapeId="0" xr:uid="{0159D586-07C9-4FAC-A917-C1D54294A582}">
      <text>
        <r>
          <rPr>
            <sz val="12"/>
            <color indexed="81"/>
            <rFont val="Tahoma"/>
            <family val="2"/>
          </rPr>
          <t>Participer à l’élaboration et à la mise en œuvre de mesures fondées sur les besoins de groupes minorisés ou en difficulté à l’école, le cas échéant.</t>
        </r>
        <r>
          <rPr>
            <b/>
            <sz val="9"/>
            <color indexed="81"/>
            <rFont val="Tahoma"/>
            <family val="2"/>
          </rPr>
          <t xml:space="preserve">
</t>
        </r>
      </text>
    </comment>
    <comment ref="A36" authorId="0" shapeId="0" xr:uid="{A247AE1A-A48F-4080-8636-991196926A67}">
      <text>
        <r>
          <rPr>
            <sz val="12"/>
            <color indexed="81"/>
            <rFont val="Tahoma"/>
            <family val="2"/>
          </rPr>
          <t>Participer à l’élaboration, à la mise en œuvre, au suivi et à la révision des plans d’intervention ou des plans d’aide à l’apprentissage.</t>
        </r>
        <r>
          <rPr>
            <b/>
            <sz val="9"/>
            <color indexed="81"/>
            <rFont val="Tahoma"/>
            <family val="2"/>
          </rPr>
          <t xml:space="preserve">
</t>
        </r>
      </text>
    </comment>
  </commentList>
</comments>
</file>

<file path=xl/sharedStrings.xml><?xml version="1.0" encoding="utf-8"?>
<sst xmlns="http://schemas.openxmlformats.org/spreadsheetml/2006/main" count="2436" uniqueCount="256">
  <si>
    <t>Bilan des compétences professionnelles</t>
  </si>
  <si>
    <t>Identification de la personne enseignante</t>
  </si>
  <si>
    <t xml:space="preserve">  </t>
  </si>
  <si>
    <t>École</t>
  </si>
  <si>
    <t>Période concernée</t>
  </si>
  <si>
    <t xml:space="preserve">
</t>
  </si>
  <si>
    <t>Indices de la maîtrise</t>
  </si>
  <si>
    <t>Assurée (4 points)</t>
  </si>
  <si>
    <t>Acceptable (3 points)</t>
  </si>
  <si>
    <t>Peu développée (2 points)</t>
  </si>
  <si>
    <t>Très peu développée (1 point)</t>
  </si>
  <si>
    <t>Au-delà des attentes</t>
  </si>
  <si>
    <t>Répond très bien aux attentes</t>
  </si>
  <si>
    <t>Répond de manière satisfaisante aux attentes</t>
  </si>
  <si>
    <t>Répond partiellement aux attentes</t>
  </si>
  <si>
    <t>Ne répond pas aux attentes</t>
  </si>
  <si>
    <t>Développement de la compétence</t>
  </si>
  <si>
    <t>De légères améliorations pourraient être apportées</t>
  </si>
  <si>
    <t>Présence de plusieurs défis et quelques défis majeurs</t>
  </si>
  <si>
    <t>Plusieurs défis majeurs</t>
  </si>
  <si>
    <t>Autonomie, encadrement, soutien, aide</t>
  </si>
  <si>
    <t>Autonomie, aisance et constance</t>
  </si>
  <si>
    <t>Aucune autonomie, éprouve beaucoup de difficulté malgré une aide constante</t>
  </si>
  <si>
    <t>Table des matières</t>
  </si>
  <si>
    <t>Progression des saisies en %</t>
  </si>
  <si>
    <t>Formatif</t>
  </si>
  <si>
    <t>Sommatif</t>
  </si>
  <si>
    <t>Feuille de présentation générale</t>
  </si>
  <si>
    <t>Encadrement</t>
  </si>
  <si>
    <t>Deux compétences fondatrices </t>
  </si>
  <si>
    <r>
      <t>Compétence 1</t>
    </r>
    <r>
      <rPr>
        <sz val="9"/>
        <rFont val="Roboto"/>
      </rPr>
      <t> : Agir en tant que médiatrice ou médiateur d’éléments de culture</t>
    </r>
  </si>
  <si>
    <r>
      <t>Compétence 2</t>
    </r>
    <r>
      <rPr>
        <sz val="9"/>
        <rFont val="Roboto"/>
      </rPr>
      <t> : Maîtriser la langue d’enseignement</t>
    </r>
  </si>
  <si>
    <r>
      <t>Compétence 3</t>
    </r>
    <r>
      <rPr>
        <sz val="9"/>
        <rFont val="Roboto"/>
      </rPr>
      <t> : Planifier les situations d’enseignement et d’apprentissage</t>
    </r>
  </si>
  <si>
    <r>
      <t>Compétence 4</t>
    </r>
    <r>
      <rPr>
        <sz val="9"/>
        <rFont val="Roboto"/>
      </rPr>
      <t> : Mettre en œuvre les situations d’enseignement et d’apprentissage</t>
    </r>
  </si>
  <si>
    <r>
      <t>Compétence 5</t>
    </r>
    <r>
      <rPr>
        <sz val="9"/>
        <rFont val="Roboto"/>
      </rPr>
      <t> : Évaluer les apprentissages</t>
    </r>
  </si>
  <si>
    <r>
      <t>Compétence 6</t>
    </r>
    <r>
      <rPr>
        <sz val="9"/>
        <rFont val="Roboto"/>
      </rPr>
      <t> : Gérer le fonctionnement du groupe-classe</t>
    </r>
  </si>
  <si>
    <r>
      <t>Compétence 7</t>
    </r>
    <r>
      <rPr>
        <sz val="9"/>
        <rFont val="Roboto"/>
      </rPr>
      <t> : Tenir compte de l’hétérogénéité des élèves</t>
    </r>
  </si>
  <si>
    <r>
      <t>Compétence 8</t>
    </r>
    <r>
      <rPr>
        <sz val="9"/>
        <rFont val="Roboto"/>
      </rPr>
      <t> : Soutenir le plaisir d’apprendre</t>
    </r>
  </si>
  <si>
    <r>
      <t>Compétence 9</t>
    </r>
    <r>
      <rPr>
        <sz val="9"/>
        <rFont val="Roboto"/>
      </rPr>
      <t> : S’impliquer activement au sein de l’équipe-école</t>
    </r>
  </si>
  <si>
    <r>
      <t>Compétence 10</t>
    </r>
    <r>
      <rPr>
        <sz val="9"/>
        <rFont val="Roboto"/>
      </rPr>
      <t> : Collaborer avec la famille et les partenaires de la communauté</t>
    </r>
  </si>
  <si>
    <r>
      <t>Compétence 11</t>
    </r>
    <r>
      <rPr>
        <sz val="9"/>
        <rFont val="Roboto"/>
      </rPr>
      <t> : S’engager dans un développement professionnel continu et dans la vie de la profession</t>
    </r>
  </si>
  <si>
    <t xml:space="preserve">Deux compétences transversales </t>
  </si>
  <si>
    <r>
      <t>Compétence 12</t>
    </r>
    <r>
      <rPr>
        <sz val="9"/>
        <rFont val="Roboto"/>
      </rPr>
      <t> : Mobiliser le numérique (production de la capsule vidéo et sa description)</t>
    </r>
  </si>
  <si>
    <r>
      <t>Compétence 13</t>
    </r>
    <r>
      <rPr>
        <sz val="9"/>
        <rFont val="Roboto"/>
      </rPr>
      <t> : Agir en accord avec les principes éthiques de la profession</t>
    </r>
  </si>
  <si>
    <t>Feuille du bilan formatif</t>
  </si>
  <si>
    <t>Feuille du bilan sommatif</t>
  </si>
  <si>
    <t>Feuille des bilans et graphiques</t>
  </si>
  <si>
    <t>Marquée (5 points)</t>
  </si>
  <si>
    <t xml:space="preserve">Cliquez sur les cases afin de sélectionner un élément.                                                                                               </t>
  </si>
  <si>
    <t>Bilan formatif</t>
  </si>
  <si>
    <t>Bilan sommatif</t>
  </si>
  <si>
    <t>Personne enseignante</t>
  </si>
  <si>
    <r>
      <t>Résultats</t>
    </r>
    <r>
      <rPr>
        <sz val="12"/>
        <color rgb="FFD9D9D9"/>
        <rFont val="Arial"/>
        <family val="2"/>
        <scheme val="minor"/>
      </rPr>
      <t xml:space="preserve"> For1</t>
    </r>
  </si>
  <si>
    <r>
      <t>Résultats</t>
    </r>
    <r>
      <rPr>
        <sz val="12"/>
        <color rgb="FFD9D9D9"/>
        <rFont val="Arial"/>
        <family val="2"/>
        <scheme val="minor"/>
      </rPr>
      <t xml:space="preserve"> For2</t>
    </r>
  </si>
  <si>
    <r>
      <t>Personne enseignante</t>
    </r>
    <r>
      <rPr>
        <b/>
        <sz val="12"/>
        <color theme="0" tint="-0.14999847407452621"/>
        <rFont val="Arial"/>
        <family val="2"/>
        <scheme val="minor"/>
      </rPr>
      <t>2</t>
    </r>
  </si>
  <si>
    <r>
      <t>Résultats</t>
    </r>
    <r>
      <rPr>
        <sz val="12"/>
        <color rgb="FFD9D9D9"/>
        <rFont val="Arial"/>
        <family val="2"/>
        <scheme val="minor"/>
      </rPr>
      <t xml:space="preserve"> Som1</t>
    </r>
  </si>
  <si>
    <r>
      <t>Résultats</t>
    </r>
    <r>
      <rPr>
        <sz val="12"/>
        <color rgb="FFD9D9D9"/>
        <rFont val="Arial"/>
        <family val="2"/>
        <scheme val="minor"/>
      </rPr>
      <t xml:space="preserve"> Som2</t>
    </r>
  </si>
  <si>
    <t xml:space="preserve"> </t>
  </si>
  <si>
    <t>Dimension A</t>
  </si>
  <si>
    <t>Acceptable</t>
  </si>
  <si>
    <t>Très peu développée</t>
  </si>
  <si>
    <t>Choisissez un élément</t>
  </si>
  <si>
    <t>Dimension B</t>
  </si>
  <si>
    <t>Assurée</t>
  </si>
  <si>
    <t>Dimension C</t>
  </si>
  <si>
    <t>Dimension D</t>
  </si>
  <si>
    <t>Marquée</t>
  </si>
  <si>
    <t>Dimension E</t>
  </si>
  <si>
    <t>Peu développée</t>
  </si>
  <si>
    <t>Dimension F</t>
  </si>
  <si>
    <t>Dimension G</t>
  </si>
  <si>
    <t>Dimension H</t>
  </si>
  <si>
    <t>Rétroactions</t>
  </si>
  <si>
    <t xml:space="preserve">Points </t>
  </si>
  <si>
    <t>Dimension I</t>
  </si>
  <si>
    <t>Dimension J</t>
  </si>
  <si>
    <t>.</t>
  </si>
  <si>
    <t>Compétence 10</t>
  </si>
  <si>
    <t>Compétence 11</t>
  </si>
  <si>
    <t>Compétence 12</t>
  </si>
  <si>
    <t>Dimension K</t>
  </si>
  <si>
    <t>Dimension L</t>
  </si>
  <si>
    <t>Points</t>
  </si>
  <si>
    <t>Compétence 13</t>
  </si>
  <si>
    <t>Évaluation formative</t>
  </si>
  <si>
    <t>Résultats (moyenne des dimensions)</t>
  </si>
  <si>
    <t>Résultat</t>
  </si>
  <si>
    <t>Dimensions saisies</t>
  </si>
  <si>
    <t>Évaluation sommative</t>
  </si>
  <si>
    <t>Compétences fondatrices</t>
  </si>
  <si>
    <t>Deux compétences transversales</t>
  </si>
  <si>
    <t>Légende:</t>
  </si>
  <si>
    <t>Pointage associé</t>
  </si>
  <si>
    <t>-</t>
  </si>
  <si>
    <t>Données originales</t>
  </si>
  <si>
    <t>%</t>
  </si>
  <si>
    <t>Compétences</t>
  </si>
  <si>
    <t>Pers.enseignante Formatif</t>
  </si>
  <si>
    <t>Resp.encadrement Formatif</t>
  </si>
  <si>
    <t>Pers.enseignante Sommatif</t>
  </si>
  <si>
    <t>Resp.encadrement Sommatif</t>
  </si>
  <si>
    <t># Compétence</t>
  </si>
  <si>
    <t>Groupe</t>
  </si>
  <si>
    <t># Dimension</t>
  </si>
  <si>
    <t>Lettre Dimension</t>
  </si>
  <si>
    <t xml:space="preserve">Compétence 1 </t>
  </si>
  <si>
    <t xml:space="preserve">Compétence 2 </t>
  </si>
  <si>
    <t xml:space="preserve">Compétence 3 </t>
  </si>
  <si>
    <t xml:space="preserve">Compétence 4 </t>
  </si>
  <si>
    <t xml:space="preserve">Compétence 5 </t>
  </si>
  <si>
    <t xml:space="preserve">Compétence 6 </t>
  </si>
  <si>
    <t xml:space="preserve">Compétence 7 </t>
  </si>
  <si>
    <t xml:space="preserve">Compétence 8 </t>
  </si>
  <si>
    <t xml:space="preserve">Compétence 9 </t>
  </si>
  <si>
    <t>Personne enseignante Formatif</t>
  </si>
  <si>
    <t>Personne encadrement Formatif</t>
  </si>
  <si>
    <t>Personne enseignante Sommatif</t>
  </si>
  <si>
    <t>Personne encadrement Sommatif</t>
  </si>
  <si>
    <t># Compétences</t>
  </si>
  <si>
    <t>Pers.enseignante Formatif F</t>
  </si>
  <si>
    <t>Pers.enseignante Formatif c1</t>
  </si>
  <si>
    <t>Pers.enseignante Formatif c2</t>
  </si>
  <si>
    <t>Pers.enseignante Formatif c3</t>
  </si>
  <si>
    <t>Pers.enseignante Formatif T</t>
  </si>
  <si>
    <t>Pers.encadrement Formatif F</t>
  </si>
  <si>
    <t>Pers.encadrement Formatif c1</t>
  </si>
  <si>
    <t>Pers.encadrement Formatif c2</t>
  </si>
  <si>
    <t>Pers.encadrement Formatif c3</t>
  </si>
  <si>
    <t>Pers.encadrement Formatif T</t>
  </si>
  <si>
    <t>Pers.enseignante Sommatif F</t>
  </si>
  <si>
    <t>Pers.enseignante Sommatif c1</t>
  </si>
  <si>
    <t>Pers.enseignante Sommatif c2</t>
  </si>
  <si>
    <t>Pers.enseignante Sommatif c3</t>
  </si>
  <si>
    <t>Pers.enseignante Sommatif T</t>
  </si>
  <si>
    <t>Pers.encadrement Sommatif F</t>
  </si>
  <si>
    <t>Pers.encadrement Sommatif c1</t>
  </si>
  <si>
    <t>Pers.encadrement Sommatif c2</t>
  </si>
  <si>
    <t>Pers.encadrement Sommatif c3</t>
  </si>
  <si>
    <t>Pers.encadrement Sommatif T</t>
  </si>
  <si>
    <t>Fondatrices</t>
  </si>
  <si>
    <t>Compétence 01</t>
  </si>
  <si>
    <t>01 : Agir en tant que médiatrice ou médiateur d’éléments de culture</t>
  </si>
  <si>
    <t>Compétence 02</t>
  </si>
  <si>
    <t>02 : Maîtriser la langue d’enseignement</t>
  </si>
  <si>
    <t>Champ 1</t>
  </si>
  <si>
    <t>Compétence 03</t>
  </si>
  <si>
    <t>03 : Planifier les situations d’enseignement et d’apprentissage</t>
  </si>
  <si>
    <t>Compétence 04</t>
  </si>
  <si>
    <t>04 : Mettre en œuvre les situations d’enseignement et d’apprentissage</t>
  </si>
  <si>
    <t>Compétence 05</t>
  </si>
  <si>
    <t>05 : Évaluer les apprentissages</t>
  </si>
  <si>
    <t>Compétence 06</t>
  </si>
  <si>
    <t>06 : Gérer le fonctionnement du groupe-classe</t>
  </si>
  <si>
    <t>Compétence 07</t>
  </si>
  <si>
    <t>07 : Tenir compte de l’hétérogénéité des élèves</t>
  </si>
  <si>
    <t>Compétence 08</t>
  </si>
  <si>
    <t>08 : Soutenir le plaisir d’apprendre</t>
  </si>
  <si>
    <t>Champ 2</t>
  </si>
  <si>
    <t>Compétence 09</t>
  </si>
  <si>
    <t>09 : S’impliquer activement au sein de l’équipe-école</t>
  </si>
  <si>
    <t>10 : Collaborer avec la famille et les partenaires de la communauté</t>
  </si>
  <si>
    <t>Champ 3</t>
  </si>
  <si>
    <t>11 : S’engager dans un développement professionnel continu et dans la vie de la profession</t>
  </si>
  <si>
    <t>Transversales</t>
  </si>
  <si>
    <t>12 : Mobiliser le numérique (production de la capsule vidéo et sa description)</t>
  </si>
  <si>
    <t>13 : Agir en accord avec les principes éthiques de la profession</t>
  </si>
  <si>
    <t>Tableau des titres de groupes de compétences</t>
  </si>
  <si>
    <t>Comp</t>
  </si>
  <si>
    <t>Tableau des titres de type de bilan (regroupement des séries)</t>
  </si>
  <si>
    <t>ChkB Type de série→</t>
  </si>
  <si>
    <t>Type de bilan</t>
  </si>
  <si>
    <t>CheckBox</t>
  </si>
  <si>
    <t>Formatif - Stagiaire</t>
  </si>
  <si>
    <t>Formatif - Encadrement</t>
  </si>
  <si>
    <t>Sommatif - Stagiaire</t>
  </si>
  <si>
    <t>Sommatif - Encadrement</t>
  </si>
  <si>
    <t>Nombre de dimension</t>
  </si>
  <si>
    <t>For1 Nbr dim saisi</t>
  </si>
  <si>
    <t>For2 Nbr dim saisi</t>
  </si>
  <si>
    <t>Som1 Nbr dim saisi</t>
  </si>
  <si>
    <t>Som2 Nbr dim saisi</t>
  </si>
  <si>
    <t>#LIGNES(INDIRECT("Tableau" &amp; B86 ))</t>
  </si>
  <si>
    <t>#NB.SI(INDIRECT("Tableau" &amp; B86 &amp; "[Résultats For1]");"&lt;&gt;-")</t>
  </si>
  <si>
    <t>#NB.SI(INDIRECT("Tableau" &amp; B86 &amp; "[Résultats For2]");"&lt;&gt;-")</t>
  </si>
  <si>
    <t>#NB.SI(INDIRECT("Tableau" &amp; B86 &amp; "[Résultats Som1]");"&lt;&gt;-")</t>
  </si>
  <si>
    <t>#NB.SI(INDIRECT("Tableau" &amp; B86 &amp; "[Résultats Som2]");"&lt;&gt;-")</t>
  </si>
  <si>
    <t>Sommatif encadrement</t>
  </si>
  <si>
    <t>Besoin d’aide occasionnel</t>
  </si>
  <si>
    <t>Quelques défis mineurs, besoin d’aide fréquent</t>
  </si>
  <si>
    <t>Identification de la personne responsable de l’encadrement</t>
  </si>
  <si>
    <t>Niveau d’enseignement</t>
  </si>
  <si>
    <t>Responsable de l’encadrement</t>
  </si>
  <si>
    <t>Entrez le nom de la personne responsable de l’encadrement</t>
  </si>
  <si>
    <t>Échelle d’appréciation des compétences professionnelles</t>
  </si>
  <si>
    <t>Peu d’autonomie, besoin d’aide continuel</t>
  </si>
  <si>
    <t>Éléments à considérer :</t>
  </si>
  <si>
    <r>
      <t>Champ 1</t>
    </r>
    <r>
      <rPr>
        <sz val="10"/>
        <color rgb="FF000000"/>
        <rFont val="Roboto"/>
      </rPr>
      <t xml:space="preserve"> : </t>
    </r>
    <r>
      <rPr>
        <b/>
        <sz val="10"/>
        <color rgb="FF000000"/>
        <rFont val="Roboto"/>
      </rPr>
      <t xml:space="preserve">six compétences spécialisées au cœur du travail fait avec et pour les élèves </t>
    </r>
  </si>
  <si>
    <r>
      <t>Champ 2 :</t>
    </r>
    <r>
      <rPr>
        <sz val="10"/>
        <color rgb="FF000000"/>
        <rFont val="Roboto"/>
      </rPr>
      <t xml:space="preserve"> </t>
    </r>
    <r>
      <rPr>
        <b/>
        <sz val="10"/>
        <color rgb="FF000000"/>
        <rFont val="Roboto"/>
      </rPr>
      <t xml:space="preserve">deux compétences à la base du professionnalisme collaboratif </t>
    </r>
  </si>
  <si>
    <r>
      <t>Champ 3</t>
    </r>
    <r>
      <rPr>
        <sz val="10"/>
        <color rgb="FF000000"/>
        <rFont val="Roboto"/>
      </rPr>
      <t xml:space="preserve"> : </t>
    </r>
    <r>
      <rPr>
        <b/>
        <sz val="10"/>
        <color rgb="FF000000"/>
        <rFont val="Roboto"/>
      </rPr>
      <t>une compétence inhérente au professionnalisme enseignant</t>
    </r>
  </si>
  <si>
    <t xml:space="preserve">                                                                                                                                                                                                                                                                                                                                                                                                                                                                         Bilan formatif
Au cours des premières semaines, vous remplissez votre bilan formatif en posant un regard réflexif sur votre expérience professionnelle vécue jusqu’à ce jour. Pour ce faire, dans un premier temps, vous relevez des faits témoignant de votre pratique effective pour chacune des dimensions de chacune des compétences. Puis, vous procédez à votre activité d’autoévaluation en utilisant l’échelle d’appréciation ci-dessous. Ce bilan vous permettra de cibler les forces et les défis qui seront sollicités tout au long de votre parcours. 
                                                                                                                                                                                                                                                                                                                                                                                                                                                                           Bilan sommatif
À la fin de votre parcours, vous et la personne responsable de votre encadrement poserez un regard sur la maîtrise de chacune des compétences de la façon suivante :  vous devez soutenir par un fait vécu chacune des dimensions, pour chacune des compétences professionnelles. Les faits présentés doivent illustrer votre pratique effective. Par la suite, la personne responsable de votre encadrement procèdera à l’appréciation de la maîtrise des 13 compétences professionnelles.                                                                                                                                                                                                                                                                                                                                                                                                                                                                                                                                                                                                                                                                                                                                                                                                                                                                                                                                                                                                                                                                                                                                                                                                                                                   </t>
  </si>
  <si>
    <t>Niveau élevé dans le développement de la compétence</t>
  </si>
  <si>
    <t>Très bonne progression dans le développement de la compétence</t>
  </si>
  <si>
    <t xml:space="preserve">Cliquez pour accéder    </t>
  </si>
  <si>
    <r>
      <t>Champ 1</t>
    </r>
    <r>
      <rPr>
        <sz val="10"/>
        <color rgb="FF000000"/>
        <rFont val="Roboto"/>
      </rPr>
      <t> :</t>
    </r>
    <r>
      <rPr>
        <b/>
        <sz val="10"/>
        <color rgb="FF000000"/>
        <rFont val="Roboto"/>
      </rPr>
      <t xml:space="preserve"> six compétences spécialisées au cœur du travail fait avec et pour les élèves </t>
    </r>
  </si>
  <si>
    <r>
      <t>Champ 3</t>
    </r>
    <r>
      <rPr>
        <sz val="10"/>
        <color rgb="FF000000"/>
        <rFont val="Roboto"/>
      </rPr>
      <t xml:space="preserve"> : </t>
    </r>
    <r>
      <rPr>
        <b/>
        <sz val="10"/>
        <color rgb="FF000000"/>
        <rFont val="Roboto"/>
      </rPr>
      <t>une</t>
    </r>
    <r>
      <rPr>
        <sz val="10"/>
        <color rgb="FF000000"/>
        <rFont val="Roboto"/>
      </rPr>
      <t xml:space="preserve"> </t>
    </r>
    <r>
      <rPr>
        <b/>
        <sz val="10"/>
        <color rgb="FF000000"/>
        <rFont val="Roboto"/>
      </rPr>
      <t>compétence inhérente au professionnalisme enseignant</t>
    </r>
  </si>
  <si>
    <t>Fait?</t>
  </si>
  <si>
    <t>À remplir par vous et la personne responsable de votre encadrement.</t>
  </si>
  <si>
    <r>
      <t xml:space="preserve">À remplir </t>
    </r>
    <r>
      <rPr>
        <b/>
        <sz val="18"/>
        <color theme="1"/>
        <rFont val="Arial"/>
        <family val="2"/>
        <scheme val="minor"/>
      </rPr>
      <t>par vous et la personne responsable de votre encadrement</t>
    </r>
  </si>
  <si>
    <t>À remplir par vous et la personne responsable de votre encadrement</t>
  </si>
  <si>
    <r>
      <t>Responsable de l’encadrement</t>
    </r>
    <r>
      <rPr>
        <b/>
        <sz val="12"/>
        <color theme="0" tint="-0.14999847407452621"/>
        <rFont val="Arial"/>
        <family val="2"/>
        <scheme val="minor"/>
      </rPr>
      <t>2</t>
    </r>
  </si>
  <si>
    <r>
      <rPr>
        <b/>
        <sz val="12"/>
        <rFont val="Arial"/>
        <family val="2"/>
        <scheme val="minor"/>
      </rPr>
      <t xml:space="preserve">Écrivez préalablement votre texte dans Word. Copiez et collez votre texte dans la case appropriée ci-dessous. Cliquez sur « Entrée » pour valider le nombre de mots. </t>
    </r>
    <r>
      <rPr>
        <b/>
        <sz val="11"/>
        <rFont val="Arial"/>
        <family val="2"/>
        <scheme val="minor"/>
      </rPr>
      <t xml:space="preserve">   </t>
    </r>
    <r>
      <rPr>
        <sz val="11"/>
        <rFont val="Arial"/>
        <family val="2"/>
        <scheme val="minor"/>
      </rPr>
      <t xml:space="preserve">                                                              </t>
    </r>
  </si>
  <si>
    <t>Points :</t>
  </si>
  <si>
    <t>Faits vécus (bilan formatif) (Max : 150 mots)</t>
  </si>
  <si>
    <t>Faits vécus (sommatif) (Max : 150 mots)</t>
  </si>
  <si>
    <t>Personne enseignante : inscrivez ici vos faits vécus</t>
  </si>
  <si>
    <t>Personne responsable de l’encadrement : inscrivez ici vos rétroactions</t>
  </si>
  <si>
    <t>Nombre de mots :</t>
  </si>
  <si>
    <t xml:space="preserve">Personne enseignante : inscrivez ici vos faits vécus </t>
  </si>
  <si>
    <t>Compétence 1</t>
  </si>
  <si>
    <t>Grille d’évaluation</t>
  </si>
  <si>
    <t>Personne responsable de l’encadrement</t>
  </si>
  <si>
    <t>Total :</t>
  </si>
  <si>
    <t>Total global :</t>
  </si>
  <si>
    <r>
      <rPr>
        <b/>
        <sz val="12"/>
        <rFont val="Arial"/>
        <family val="2"/>
        <scheme val="minor"/>
      </rPr>
      <t xml:space="preserve">Écrivez préalablement votre texte dans Word. Copiez et collez votre texte dans la case appropriée ci-dessous. Cliquez sur « Entrée » pour valider le nombre de mots. </t>
    </r>
    <r>
      <rPr>
        <b/>
        <sz val="11"/>
        <rFont val="Arial"/>
        <family val="2"/>
        <scheme val="minor"/>
      </rPr>
      <t xml:space="preserve"> </t>
    </r>
    <r>
      <rPr>
        <sz val="11"/>
        <rFont val="Arial"/>
        <family val="2"/>
        <scheme val="minor"/>
      </rPr>
      <t xml:space="preserve">                                                              </t>
    </r>
  </si>
  <si>
    <t>Compétence 2</t>
  </si>
  <si>
    <r>
      <rPr>
        <b/>
        <sz val="12"/>
        <rFont val="Arial"/>
        <family val="2"/>
        <scheme val="minor"/>
      </rPr>
      <t xml:space="preserve">Écrivez préalablement votre texte dans Word. Copiez et collez votre texte dans la case appropriée ci-dessous. Cliquez sur « Entrée » pour valider le nombre de mots.  </t>
    </r>
    <r>
      <rPr>
        <sz val="12"/>
        <rFont val="Arial"/>
        <family val="2"/>
        <scheme val="minor"/>
      </rPr>
      <t xml:space="preserve">   </t>
    </r>
    <r>
      <rPr>
        <sz val="11"/>
        <rFont val="Arial"/>
        <family val="2"/>
        <scheme val="minor"/>
      </rPr>
      <t xml:space="preserve">                                                           </t>
    </r>
  </si>
  <si>
    <t>Fait vécu (sommatif) (Max : 150 mots)</t>
  </si>
  <si>
    <t>Compétence 4</t>
  </si>
  <si>
    <r>
      <rPr>
        <b/>
        <sz val="12"/>
        <rFont val="Arial"/>
        <family val="2"/>
        <scheme val="minor"/>
      </rPr>
      <t xml:space="preserve">Écrivez préalablement votre texte dans Word. Copiez et collez votre texte dans la case appropriée ci-dessous. Cliquez sur « Entrée » pour valider le nombre de mots.  </t>
    </r>
    <r>
      <rPr>
        <b/>
        <sz val="11"/>
        <rFont val="Arial"/>
        <family val="2"/>
        <scheme val="minor"/>
      </rPr>
      <t xml:space="preserve"> </t>
    </r>
    <r>
      <rPr>
        <sz val="11"/>
        <rFont val="Arial"/>
        <family val="2"/>
        <scheme val="minor"/>
      </rPr>
      <t xml:space="preserve">                                                              </t>
    </r>
  </si>
  <si>
    <t>Compétence 3</t>
  </si>
  <si>
    <r>
      <rPr>
        <b/>
        <sz val="12"/>
        <rFont val="Arial"/>
        <family val="2"/>
        <scheme val="minor"/>
      </rPr>
      <t>Écrivez préalablement votre texte dans Word. Copiez et collez votre texte dans la case appropriée ci-dessous. Cliquez sur « Entrée » pour valider le nombre de mots.</t>
    </r>
    <r>
      <rPr>
        <b/>
        <sz val="11"/>
        <rFont val="Arial"/>
        <family val="2"/>
        <scheme val="minor"/>
      </rPr>
      <t xml:space="preserve">   </t>
    </r>
    <r>
      <rPr>
        <sz val="11"/>
        <rFont val="Arial"/>
        <family val="2"/>
        <scheme val="minor"/>
      </rPr>
      <t xml:space="preserve">                                                              </t>
    </r>
  </si>
  <si>
    <t>Compétence 5</t>
  </si>
  <si>
    <r>
      <rPr>
        <b/>
        <sz val="12"/>
        <rFont val="Arial"/>
        <family val="2"/>
        <scheme val="minor"/>
      </rPr>
      <t>Écrivez préalablement votre texte dans Word. Copiez et collez votre texte dans la case appropriée ci-dessous. Cliquez sur « Entrée » pour valider le nombre de mots.</t>
    </r>
    <r>
      <rPr>
        <b/>
        <sz val="11"/>
        <rFont val="Arial"/>
        <family val="2"/>
        <scheme val="minor"/>
      </rPr>
      <t xml:space="preserve">  </t>
    </r>
    <r>
      <rPr>
        <sz val="11"/>
        <rFont val="Arial"/>
        <family val="2"/>
        <scheme val="minor"/>
      </rPr>
      <t xml:space="preserve">                                                              </t>
    </r>
  </si>
  <si>
    <t>Compétence 6</t>
  </si>
  <si>
    <r>
      <rPr>
        <b/>
        <sz val="12"/>
        <rFont val="Arial"/>
        <family val="2"/>
        <scheme val="minor"/>
      </rPr>
      <t>Écrivez préalablement votre texte dans Word. Copiez et collez votre texte dans la case appropriée ci-dessous. Cliquez sur « Entrée » pour valider le nombre de mots.</t>
    </r>
    <r>
      <rPr>
        <b/>
        <sz val="11"/>
        <rFont val="Arial"/>
        <family val="2"/>
        <scheme val="minor"/>
      </rPr>
      <t xml:space="preserve"> </t>
    </r>
    <r>
      <rPr>
        <sz val="11"/>
        <rFont val="Arial"/>
        <family val="2"/>
        <scheme val="minor"/>
      </rPr>
      <t xml:space="preserve">                                                              </t>
    </r>
  </si>
  <si>
    <t>Compétence 7</t>
  </si>
  <si>
    <r>
      <rPr>
        <b/>
        <sz val="12"/>
        <rFont val="Arial"/>
        <family val="2"/>
        <scheme val="minor"/>
      </rPr>
      <t xml:space="preserve">Écrivez préalablement votre texte dans Word. Copiez et collez votre texte dans la case appropriée ci-dessous. Cliquez sur « Entrée » pour valider le nombre de mots.   </t>
    </r>
    <r>
      <rPr>
        <sz val="12"/>
        <rFont val="Arial"/>
        <family val="2"/>
        <scheme val="minor"/>
      </rPr>
      <t xml:space="preserve"> </t>
    </r>
    <r>
      <rPr>
        <sz val="11"/>
        <rFont val="Arial"/>
        <family val="2"/>
        <scheme val="minor"/>
      </rPr>
      <t xml:space="preserve">                                                             </t>
    </r>
  </si>
  <si>
    <r>
      <t>Faits vécus (bilan formatif) (Max : 150 mots</t>
    </r>
    <r>
      <rPr>
        <b/>
        <u/>
        <sz val="12"/>
        <color rgb="FF000000"/>
        <rFont val="Arial"/>
        <family val="2"/>
        <scheme val="minor"/>
      </rPr>
      <t>)</t>
    </r>
  </si>
  <si>
    <t>Compétence 8</t>
  </si>
  <si>
    <r>
      <rPr>
        <b/>
        <sz val="12"/>
        <rFont val="Arial"/>
        <family val="2"/>
        <scheme val="minor"/>
      </rPr>
      <t xml:space="preserve">Écrivez préalablement votre texte dans Word. Copiez et collez votre texte dans la case appropriée ci-dessous. Cliquez sur « Entrée » pour valider le nombre de mots. </t>
    </r>
    <r>
      <rPr>
        <sz val="11"/>
        <rFont val="Arial"/>
        <family val="2"/>
        <scheme val="minor"/>
      </rPr>
      <t xml:space="preserve">                                                              </t>
    </r>
  </si>
  <si>
    <t>Compétence 9</t>
  </si>
  <si>
    <t>Écrivez préalablement votre texte dans Word. Copiez et collez votre texte dans la case appropriée ci-dessous. Cliquez sur « Entrée » pour valider le nombre de mots.</t>
  </si>
  <si>
    <t>Compétence 10</t>
  </si>
  <si>
    <t>Compétence 11</t>
  </si>
  <si>
    <r>
      <rPr>
        <b/>
        <sz val="12"/>
        <rFont val="Arial"/>
        <family val="2"/>
        <scheme val="minor"/>
      </rPr>
      <t xml:space="preserve">Écrivez préalablement votre texte dans Word. Copiez et collez votre texte dans la case appropriée ci-dessous. Cliquez sur « Entrée » pour valider le nombre de mots.  </t>
    </r>
    <r>
      <rPr>
        <sz val="11"/>
        <rFont val="Arial"/>
        <family val="2"/>
        <scheme val="minor"/>
      </rPr>
      <t xml:space="preserve">                                                              </t>
    </r>
  </si>
  <si>
    <t>Compétence 12</t>
  </si>
  <si>
    <t>Compétence 13</t>
  </si>
  <si>
    <t>Sélectionnez la ou les compétences à visualiser :</t>
  </si>
  <si>
    <t>Sélectionnez le ou les types de bilan à visualiser :</t>
  </si>
  <si>
    <t xml:space="preserve">   Légende :</t>
  </si>
  <si>
    <t>Champ 1 : six compétences spécialisées au cœur du travail fait avec et pour les élèves</t>
  </si>
  <si>
    <t>Champ 2 : deux compétences à la base du professionnalisme collaboratif</t>
  </si>
  <si>
    <t>Champ 3 : une compétence inhérente au professionnalisme enseignant</t>
  </si>
  <si>
    <t>Consignes pour remplir et déposer le document</t>
  </si>
  <si>
    <t>Entrez les dates de début et de fin de la période concernée par l’encadrement</t>
  </si>
  <si>
    <r>
      <rPr>
        <b/>
        <sz val="18"/>
        <rFont val="Arial"/>
        <family val="2"/>
        <scheme val="minor"/>
      </rPr>
      <t>*</t>
    </r>
    <r>
      <rPr>
        <sz val="18"/>
        <rFont val="Arial"/>
        <family val="2"/>
        <scheme val="minor"/>
      </rPr>
      <t xml:space="preserve"> </t>
    </r>
    <r>
      <rPr>
        <sz val="12"/>
        <rFont val="Arial"/>
        <family val="2"/>
        <scheme val="minor"/>
      </rPr>
      <t>Les indices de maîtrise "Peu développée" et "Très peu développée" nécessitent la mise en place d’un plan d’action.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</si>
</sst>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0.00\ &quot;€&quot;;\-#,##0.00\ &quot;€&quot;"/>
    <numFmt numFmtId="165" formatCode="_(* #,##0_);_(* \(#,##0\);_(* &quot;-&quot;_);_(@_)"/>
    <numFmt numFmtId="166" formatCode="[&lt;=9999999]###\-####;\(###\)\ ###\-####"/>
    <numFmt numFmtId="167" formatCode="0#&quot; &quot;##&quot; &quot;##&quot; &quot;##&quot; &quot;##"/>
    <numFmt numFmtId="168" formatCode="#,##0_ ;\-#,##0\ "/>
    <numFmt numFmtId="169" formatCode="#0.0&quot;/10&quot;;\-#0.0&quot;/10,0&quot;;0.0&quot;/10&quot;;@&quot;/10&quot;"/>
    <numFmt numFmtId="170" formatCode="#0.0&quot;/30&quot;;\-#0.0&quot;/30&quot;;0.0&quot;/30&quot;;@&quot;/30&quot;"/>
    <numFmt numFmtId="171" formatCode="#0.0&quot;/5&quot;;\-#0.0&quot;/5&quot;;0.0&quot;/5&quot;;@&quot;/5&quot;"/>
    <numFmt numFmtId="172" formatCode="0.0"/>
    <numFmt numFmtId="173" formatCode="#0.0"/>
    <numFmt numFmtId="174" formatCode="0.0%"/>
  </numFmts>
  <fonts count="75" x14ac:knownFonts="1">
    <font>
      <sz val="11"/>
      <color theme="1" tint="0.34998626667073579"/>
      <name val="Arial"/>
      <family val="2"/>
      <scheme val="minor"/>
    </font>
    <font>
      <sz val="11"/>
      <color theme="1"/>
      <name val="Arial"/>
      <family val="2"/>
      <scheme val="minor"/>
    </font>
    <font>
      <sz val="11"/>
      <color theme="1"/>
      <name val="Arial"/>
      <family val="2"/>
      <scheme val="minor"/>
    </font>
    <font>
      <sz val="12"/>
      <color theme="1"/>
      <name val="Arial"/>
      <family val="2"/>
      <scheme val="minor"/>
    </font>
    <font>
      <sz val="11"/>
      <color theme="1"/>
      <name val="Arial"/>
      <family val="2"/>
      <scheme val="minor"/>
    </font>
    <font>
      <sz val="11"/>
      <color theme="0"/>
      <name val="Arial"/>
      <family val="2"/>
      <scheme val="minor"/>
    </font>
    <font>
      <sz val="22"/>
      <color theme="1" tint="0.34998626667073579"/>
      <name val="Impact"/>
      <family val="2"/>
      <scheme val="major"/>
    </font>
    <font>
      <sz val="14"/>
      <color theme="1" tint="0.34998626667073579"/>
      <name val="Impact"/>
      <family val="2"/>
      <scheme val="major"/>
    </font>
    <font>
      <b/>
      <sz val="11"/>
      <color theme="1"/>
      <name val="Arial"/>
      <family val="2"/>
      <scheme val="minor"/>
    </font>
    <font>
      <sz val="11"/>
      <color theme="1" tint="0.34998626667073579"/>
      <name val="Arial"/>
      <family val="2"/>
      <scheme val="minor"/>
    </font>
    <font>
      <b/>
      <sz val="11"/>
      <color theme="1" tint="0.34998626667073579"/>
      <name val="Arial"/>
      <family val="2"/>
      <scheme val="minor"/>
    </font>
    <font>
      <sz val="11"/>
      <color rgb="FF3F3F76"/>
      <name val="Arial"/>
      <family val="2"/>
      <scheme val="minor"/>
    </font>
    <font>
      <b/>
      <sz val="14"/>
      <color theme="1" tint="0.34998626667073579"/>
      <name val="Impact"/>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name val="Arial"/>
      <family val="2"/>
      <scheme val="minor"/>
    </font>
    <font>
      <b/>
      <sz val="12"/>
      <color theme="0"/>
      <name val="Arial"/>
      <family val="2"/>
      <scheme val="minor"/>
    </font>
    <font>
      <b/>
      <sz val="11"/>
      <color theme="6" tint="0.79998168889431442"/>
      <name val="Arial"/>
      <family val="2"/>
      <scheme val="minor"/>
    </font>
    <font>
      <sz val="11"/>
      <color theme="6" tint="-0.499984740745262"/>
      <name val="Arial"/>
      <family val="2"/>
      <scheme val="minor"/>
    </font>
    <font>
      <b/>
      <sz val="11"/>
      <color theme="6" tint="-0.499984740745262"/>
      <name val="Arial"/>
      <family val="2"/>
      <scheme val="minor"/>
    </font>
    <font>
      <b/>
      <sz val="14"/>
      <color theme="1"/>
      <name val="Arial Black"/>
      <family val="2"/>
    </font>
    <font>
      <sz val="14"/>
      <color theme="1" tint="0.34998626667073579"/>
      <name val="Arial"/>
      <family val="2"/>
      <scheme val="minor"/>
    </font>
    <font>
      <sz val="14"/>
      <color theme="1"/>
      <name val="Arial"/>
      <family val="2"/>
      <scheme val="minor"/>
    </font>
    <font>
      <b/>
      <sz val="14"/>
      <color theme="1"/>
      <name val="Arial"/>
      <family val="2"/>
      <scheme val="minor"/>
    </font>
    <font>
      <b/>
      <sz val="16"/>
      <color theme="1"/>
      <name val="Arial"/>
      <family val="2"/>
      <scheme val="minor"/>
    </font>
    <font>
      <sz val="14"/>
      <name val="Arial"/>
      <family val="2"/>
      <scheme val="minor"/>
    </font>
    <font>
      <b/>
      <sz val="18"/>
      <name val="Arial"/>
      <family val="2"/>
      <scheme val="minor"/>
    </font>
    <font>
      <sz val="12"/>
      <name val="Arial"/>
      <family val="2"/>
      <scheme val="minor"/>
    </font>
    <font>
      <sz val="12"/>
      <color theme="1" tint="0.34998626667073579"/>
      <name val="Arial"/>
      <family val="2"/>
      <scheme val="minor"/>
    </font>
    <font>
      <b/>
      <sz val="12"/>
      <name val="Arial"/>
      <family val="2"/>
      <scheme val="minor"/>
    </font>
    <font>
      <sz val="10"/>
      <name val="Roboto"/>
    </font>
    <font>
      <b/>
      <sz val="10"/>
      <color rgb="FF000000"/>
      <name val="Roboto"/>
    </font>
    <font>
      <sz val="10"/>
      <color rgb="FF000000"/>
      <name val="Roboto"/>
    </font>
    <font>
      <b/>
      <sz val="9"/>
      <name val="Roboto"/>
    </font>
    <font>
      <sz val="9"/>
      <name val="Roboto"/>
    </font>
    <font>
      <b/>
      <sz val="11"/>
      <name val="Arial"/>
      <family val="2"/>
      <scheme val="minor"/>
    </font>
    <font>
      <b/>
      <sz val="10"/>
      <color theme="1"/>
      <name val="Arial Black"/>
      <family val="2"/>
    </font>
    <font>
      <b/>
      <sz val="10"/>
      <color theme="1" tint="0.34998626667073579"/>
      <name val="Arial Black"/>
      <family val="2"/>
    </font>
    <font>
      <sz val="16"/>
      <color theme="1" tint="0.34998626667073579"/>
      <name val="Impact"/>
      <family val="2"/>
      <scheme val="major"/>
    </font>
    <font>
      <b/>
      <sz val="12"/>
      <color theme="1"/>
      <name val="Arial"/>
      <family val="2"/>
      <scheme val="minor"/>
    </font>
    <font>
      <b/>
      <u val="double"/>
      <sz val="12"/>
      <color rgb="FF000000"/>
      <name val="Arial"/>
      <family val="2"/>
      <scheme val="minor"/>
    </font>
    <font>
      <b/>
      <u/>
      <sz val="12"/>
      <color rgb="FF000000"/>
      <name val="Arial"/>
      <family val="2"/>
      <scheme val="minor"/>
    </font>
    <font>
      <sz val="8"/>
      <name val="Arial"/>
      <family val="2"/>
      <scheme val="minor"/>
    </font>
    <font>
      <sz val="10"/>
      <color theme="1"/>
      <name val="Arial"/>
      <family val="2"/>
    </font>
    <font>
      <sz val="14"/>
      <color theme="0" tint="-0.14999847407452621"/>
      <name val="Arial"/>
      <family val="2"/>
      <scheme val="minor"/>
    </font>
    <font>
      <b/>
      <sz val="16"/>
      <name val="Arial"/>
      <family val="2"/>
      <scheme val="minor"/>
    </font>
    <font>
      <sz val="18"/>
      <name val="Arial"/>
      <family val="2"/>
      <scheme val="minor"/>
    </font>
    <font>
      <b/>
      <sz val="12"/>
      <color theme="0" tint="-0.14999847407452621"/>
      <name val="Arial"/>
      <family val="2"/>
      <scheme val="minor"/>
    </font>
    <font>
      <b/>
      <sz val="18"/>
      <color theme="1"/>
      <name val="Arial"/>
      <family val="2"/>
      <scheme val="minor"/>
    </font>
    <font>
      <sz val="9"/>
      <color rgb="FF000000"/>
      <name val="Tahoma"/>
      <family val="2"/>
    </font>
    <font>
      <sz val="12"/>
      <color rgb="FF000000"/>
      <name val="Tahoma"/>
      <family val="2"/>
    </font>
    <font>
      <sz val="9"/>
      <color indexed="81"/>
      <name val="Tahoma"/>
      <family val="2"/>
    </font>
    <font>
      <sz val="12"/>
      <color indexed="81"/>
      <name val="Tahoma"/>
      <family val="2"/>
    </font>
    <font>
      <b/>
      <sz val="9"/>
      <color indexed="81"/>
      <name val="Tahoma"/>
      <family val="2"/>
    </font>
    <font>
      <sz val="12"/>
      <color rgb="FFD9D9D9"/>
      <name val="Arial"/>
      <family val="2"/>
      <scheme val="minor"/>
    </font>
    <font>
      <sz val="12"/>
      <color rgb="FF000000"/>
      <name val="Arial"/>
      <family val="2"/>
      <scheme val="minor"/>
    </font>
    <font>
      <u/>
      <sz val="11"/>
      <color rgb="FF0563C1"/>
      <name val="Arial"/>
      <family val="2"/>
      <scheme val="minor"/>
    </font>
    <font>
      <sz val="8"/>
      <color theme="1" tint="0.34998626667073579"/>
      <name val="Arial"/>
      <family val="2"/>
      <scheme val="minor"/>
    </font>
    <font>
      <i/>
      <sz val="11"/>
      <color theme="1" tint="0.34998626667073579"/>
      <name val="Arial"/>
      <family val="2"/>
      <scheme val="minor"/>
    </font>
    <font>
      <sz val="10"/>
      <color theme="1" tint="0.34998626667073579"/>
      <name val="Arial"/>
      <family val="2"/>
      <scheme val="minor"/>
    </font>
    <font>
      <sz val="9"/>
      <color theme="1" tint="0.34998626667073579"/>
      <name val="Arial"/>
      <family val="2"/>
      <scheme val="minor"/>
    </font>
    <font>
      <i/>
      <sz val="9"/>
      <color theme="1" tint="0.34998626667073579"/>
      <name val="Arial"/>
      <family val="2"/>
      <scheme val="minor"/>
    </font>
    <font>
      <b/>
      <sz val="9"/>
      <color theme="1" tint="0.34998626667073579"/>
      <name val="Arial"/>
      <family val="2"/>
      <scheme val="minor"/>
    </font>
    <font>
      <b/>
      <sz val="9"/>
      <color rgb="FF000000"/>
      <name val="Roboto"/>
    </font>
    <font>
      <sz val="11"/>
      <color theme="1" tint="0.34998626667073579"/>
      <name val="Playbill"/>
      <family val="5"/>
    </font>
    <font>
      <b/>
      <sz val="8"/>
      <color theme="1" tint="0.34998626667073579"/>
      <name val="Arial"/>
      <family val="2"/>
      <scheme val="minor"/>
    </font>
    <font>
      <sz val="8"/>
      <color rgb="FF000000"/>
      <name val="Segoe UI"/>
      <family val="2"/>
    </font>
    <font>
      <i/>
      <sz val="12"/>
      <color indexed="81"/>
      <name val="Tahoma"/>
      <family val="2"/>
    </font>
    <font>
      <sz val="10"/>
      <name val="Arial"/>
      <family val="2"/>
      <scheme val="minor"/>
    </font>
  </fonts>
  <fills count="50">
    <fill>
      <patternFill patternType="none"/>
    </fill>
    <fill>
      <patternFill patternType="gray125"/>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24994659260841701"/>
        <bgColor indexed="64"/>
      </patternFill>
    </fill>
    <fill>
      <patternFill patternType="solid">
        <fgColor theme="6" tint="0.59996337778862885"/>
        <bgColor indexed="64"/>
      </patternFill>
    </fill>
    <fill>
      <patternFill patternType="solid">
        <fgColor theme="6" tint="0.79998168889431442"/>
        <bgColor indexed="64"/>
      </patternFill>
    </fill>
    <fill>
      <patternFill patternType="solid">
        <fgColor theme="6" tint="0.3999450666829432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7B8B3"/>
        <bgColor indexed="64"/>
      </patternFill>
    </fill>
    <fill>
      <patternFill patternType="solid">
        <fgColor rgb="FFC1C2DA"/>
        <bgColor indexed="64"/>
      </patternFill>
    </fill>
    <fill>
      <patternFill patternType="solid">
        <fgColor rgb="FFB1CCE6"/>
        <bgColor indexed="64"/>
      </patternFill>
    </fill>
    <fill>
      <patternFill patternType="solid">
        <fgColor rgb="FFC0EAED"/>
        <bgColor indexed="64"/>
      </patternFill>
    </fill>
    <fill>
      <patternFill patternType="solid">
        <fgColor rgb="FFCFCECE"/>
        <bgColor indexed="64"/>
      </patternFill>
    </fill>
    <fill>
      <patternFill patternType="solid">
        <fgColor rgb="FF92D050"/>
        <bgColor indexed="64"/>
      </patternFill>
    </fill>
    <fill>
      <patternFill patternType="lightUp">
        <bgColor rgb="FFFDFDFD"/>
      </patternFill>
    </fill>
    <fill>
      <patternFill patternType="solid">
        <fgColor theme="7" tint="0.59999389629810485"/>
        <bgColor indexed="64"/>
      </patternFill>
    </fill>
    <fill>
      <patternFill patternType="solid">
        <fgColor rgb="FFF1D276"/>
        <bgColor indexed="64"/>
      </patternFill>
    </fill>
    <fill>
      <patternFill patternType="solid">
        <fgColor rgb="FFFFC000"/>
        <bgColor indexed="64"/>
      </patternFill>
    </fill>
    <fill>
      <patternFill patternType="solid">
        <fgColor rgb="FFFFFF00"/>
        <bgColor indexed="64"/>
      </patternFill>
    </fill>
  </fills>
  <borders count="110">
    <border>
      <left/>
      <right/>
      <top/>
      <bottom/>
      <diagonal/>
    </border>
    <border>
      <left/>
      <right/>
      <top/>
      <bottom style="thin">
        <color auto="1"/>
      </bottom>
      <diagonal/>
    </border>
    <border>
      <left/>
      <right/>
      <top/>
      <bottom style="thick">
        <color theme="4"/>
      </bottom>
      <diagonal/>
    </border>
    <border>
      <left/>
      <right/>
      <top style="thin">
        <color auto="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diagonal/>
    </border>
    <border>
      <left style="medium">
        <color indexed="64"/>
      </left>
      <right style="medium">
        <color indexed="64"/>
      </right>
      <top/>
      <bottom/>
      <diagonal/>
    </border>
    <border>
      <left style="medium">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bottom style="thick">
        <color indexed="64"/>
      </bottom>
      <diagonal/>
    </border>
    <border>
      <left/>
      <right style="thick">
        <color indexed="64"/>
      </right>
      <top/>
      <bottom/>
      <diagonal/>
    </border>
    <border>
      <left/>
      <right style="thick">
        <color indexed="64"/>
      </right>
      <top style="medium">
        <color indexed="64"/>
      </top>
      <bottom/>
      <diagonal/>
    </border>
    <border>
      <left/>
      <right style="thick">
        <color indexed="64"/>
      </right>
      <top style="thick">
        <color indexed="64"/>
      </top>
      <bottom/>
      <diagonal/>
    </border>
    <border>
      <left style="medium">
        <color indexed="64"/>
      </left>
      <right style="thick">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bottom style="medium">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ck">
        <color indexed="64"/>
      </right>
      <top style="thick">
        <color indexed="64"/>
      </top>
      <bottom style="medium">
        <color indexed="64"/>
      </bottom>
      <diagonal/>
    </border>
    <border>
      <left style="double">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style="double">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double">
        <color indexed="64"/>
      </right>
      <top style="double">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right/>
      <top style="double">
        <color indexed="64"/>
      </top>
      <bottom/>
      <diagonal/>
    </border>
    <border>
      <left style="medium">
        <color indexed="64"/>
      </left>
      <right style="medium">
        <color indexed="64"/>
      </right>
      <top style="double">
        <color indexed="64"/>
      </top>
      <bottom style="medium">
        <color indexed="64"/>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ck">
        <color indexed="64"/>
      </left>
      <right/>
      <top style="double">
        <color indexed="64"/>
      </top>
      <bottom/>
      <diagonal/>
    </border>
    <border>
      <left style="thick">
        <color indexed="64"/>
      </left>
      <right/>
      <top style="medium">
        <color indexed="64"/>
      </top>
      <bottom style="medium">
        <color indexed="64"/>
      </bottom>
      <diagonal/>
    </border>
    <border>
      <left style="thick">
        <color indexed="64"/>
      </left>
      <right/>
      <top style="double">
        <color indexed="64"/>
      </top>
      <bottom style="medium">
        <color indexed="64"/>
      </bottom>
      <diagonal/>
    </border>
    <border>
      <left/>
      <right/>
      <top style="thick">
        <color indexed="64"/>
      </top>
      <bottom/>
      <diagonal/>
    </border>
    <border>
      <left style="thick">
        <color indexed="64"/>
      </left>
      <right/>
      <top style="thick">
        <color indexed="64"/>
      </top>
      <bottom/>
      <diagonal/>
    </border>
    <border>
      <left style="medium">
        <color indexed="64"/>
      </left>
      <right style="thin">
        <color indexed="64"/>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ck">
        <color indexed="64"/>
      </left>
      <right/>
      <top/>
      <bottom style="medium">
        <color indexed="64"/>
      </bottom>
      <diagonal/>
    </border>
    <border>
      <left style="medium">
        <color indexed="64"/>
      </left>
      <right/>
      <top style="medium">
        <color indexed="64"/>
      </top>
      <bottom style="double">
        <color indexed="64"/>
      </bottom>
      <diagonal/>
    </border>
    <border>
      <left style="thick">
        <color indexed="64"/>
      </left>
      <right style="medium">
        <color indexed="64"/>
      </right>
      <top style="medium">
        <color indexed="64"/>
      </top>
      <bottom/>
      <diagonal/>
    </border>
    <border>
      <left style="thick">
        <color indexed="64"/>
      </left>
      <right/>
      <top/>
      <bottom style="double">
        <color indexed="64"/>
      </bottom>
      <diagonal/>
    </border>
    <border>
      <left style="thin">
        <color rgb="FF595959"/>
      </left>
      <right/>
      <top style="thin">
        <color rgb="FF595959"/>
      </top>
      <bottom style="thin">
        <color rgb="FF595959"/>
      </bottom>
      <diagonal/>
    </border>
    <border>
      <left/>
      <right/>
      <top style="thin">
        <color rgb="FF595959"/>
      </top>
      <bottom style="thin">
        <color rgb="FF595959"/>
      </bottom>
      <diagonal/>
    </border>
    <border>
      <left/>
      <right style="thin">
        <color rgb="FF595959"/>
      </right>
      <top/>
      <bottom/>
      <diagonal/>
    </border>
    <border>
      <left style="thin">
        <color rgb="FF595959"/>
      </left>
      <right/>
      <top/>
      <bottom style="thin">
        <color rgb="FF595959"/>
      </bottom>
      <diagonal/>
    </border>
    <border>
      <left/>
      <right/>
      <top/>
      <bottom style="thin">
        <color rgb="FF595959"/>
      </bottom>
      <diagonal/>
    </border>
    <border>
      <left/>
      <right style="thin">
        <color rgb="FF595959"/>
      </right>
      <top/>
      <bottom style="thin">
        <color rgb="FF595959"/>
      </bottom>
      <diagonal/>
    </border>
    <border>
      <left style="thin">
        <color rgb="FF595959"/>
      </left>
      <right/>
      <top style="thin">
        <color rgb="FF595959"/>
      </top>
      <bottom/>
      <diagonal/>
    </border>
    <border>
      <left/>
      <right/>
      <top style="thin">
        <color rgb="FF595959"/>
      </top>
      <bottom/>
      <diagonal/>
    </border>
    <border>
      <left style="thin">
        <color rgb="FF595959"/>
      </left>
      <right/>
      <top/>
      <bottom/>
      <diagonal/>
    </border>
    <border>
      <left style="thin">
        <color rgb="FF595959"/>
      </left>
      <right style="thin">
        <color rgb="FF595959"/>
      </right>
      <top/>
      <bottom style="thin">
        <color rgb="FF595959"/>
      </bottom>
      <diagonal/>
    </border>
    <border>
      <left/>
      <right/>
      <top style="medium">
        <color rgb="FF595959"/>
      </top>
      <bottom style="thin">
        <color rgb="FF595959"/>
      </bottom>
      <diagonal/>
    </border>
    <border>
      <left style="thin">
        <color rgb="FF595959"/>
      </left>
      <right/>
      <top/>
      <bottom style="medium">
        <color rgb="FF595959"/>
      </bottom>
      <diagonal/>
    </border>
    <border>
      <left style="thin">
        <color rgb="FF595959"/>
      </left>
      <right/>
      <top/>
      <bottom style="medium">
        <color auto="1"/>
      </bottom>
      <diagonal/>
    </border>
    <border>
      <left/>
      <right style="medium">
        <color auto="1"/>
      </right>
      <top style="thin">
        <color rgb="FF595959"/>
      </top>
      <bottom style="thin">
        <color rgb="FF595959"/>
      </bottom>
      <diagonal/>
    </border>
    <border>
      <left/>
      <right style="medium">
        <color auto="1"/>
      </right>
      <top style="thin">
        <color rgb="FF595959"/>
      </top>
      <bottom/>
      <diagonal/>
    </border>
    <border>
      <left style="thin">
        <color rgb="FF595959"/>
      </left>
      <right/>
      <top style="thin">
        <color rgb="FF595959"/>
      </top>
      <bottom style="medium">
        <color auto="1"/>
      </bottom>
      <diagonal/>
    </border>
    <border>
      <left/>
      <right/>
      <top style="thin">
        <color rgb="FF595959"/>
      </top>
      <bottom style="medium">
        <color auto="1"/>
      </bottom>
      <diagonal/>
    </border>
    <border>
      <left style="thin">
        <color rgb="FF595959"/>
      </left>
      <right style="medium">
        <color auto="1"/>
      </right>
      <top style="medium">
        <color auto="1"/>
      </top>
      <bottom style="medium">
        <color rgb="FF595959"/>
      </bottom>
      <diagonal/>
    </border>
    <border>
      <left/>
      <right style="medium">
        <color auto="1"/>
      </right>
      <top style="medium">
        <color rgb="FF595959"/>
      </top>
      <bottom style="thin">
        <color rgb="FF595959"/>
      </bottom>
      <diagonal/>
    </border>
    <border>
      <left style="thin">
        <color rgb="FF595959"/>
      </left>
      <right style="medium">
        <color auto="1"/>
      </right>
      <top style="thin">
        <color rgb="FF595959"/>
      </top>
      <bottom style="thin">
        <color rgb="FF595959"/>
      </bottom>
      <diagonal/>
    </border>
    <border>
      <left style="thin">
        <color rgb="FF595959"/>
      </left>
      <right style="thin">
        <color rgb="FF595959"/>
      </right>
      <top style="thin">
        <color rgb="FF595959"/>
      </top>
      <bottom style="medium">
        <color auto="1"/>
      </bottom>
      <diagonal/>
    </border>
    <border>
      <left/>
      <right style="medium">
        <color auto="1"/>
      </right>
      <top style="medium">
        <color auto="1"/>
      </top>
      <bottom style="thin">
        <color rgb="FF595959"/>
      </bottom>
      <diagonal/>
    </border>
    <border>
      <left style="medium">
        <color rgb="FF595959"/>
      </left>
      <right style="medium">
        <color rgb="FF595959"/>
      </right>
      <top style="medium">
        <color rgb="FF595959"/>
      </top>
      <bottom style="medium">
        <color rgb="FF595959"/>
      </bottom>
      <diagonal/>
    </border>
    <border>
      <left/>
      <right style="medium">
        <color auto="1"/>
      </right>
      <top/>
      <bottom style="thin">
        <color rgb="FF595959"/>
      </bottom>
      <diagonal/>
    </border>
    <border>
      <left style="medium">
        <color rgb="FF595959"/>
      </left>
      <right style="medium">
        <color rgb="FF595959"/>
      </right>
      <top style="medium">
        <color rgb="FF595959"/>
      </top>
      <bottom style="medium">
        <color indexed="64"/>
      </bottom>
      <diagonal/>
    </border>
    <border>
      <left style="medium">
        <color indexed="64"/>
      </left>
      <right/>
      <top/>
      <bottom style="thin">
        <color indexed="64"/>
      </bottom>
      <diagonal/>
    </border>
    <border>
      <left/>
      <right style="medium">
        <color rgb="FF595959"/>
      </right>
      <top/>
      <bottom style="thin">
        <color indexed="64"/>
      </bottom>
      <diagonal/>
    </border>
    <border>
      <left style="medium">
        <color rgb="FF595959"/>
      </left>
      <right/>
      <top style="medium">
        <color rgb="FF595959"/>
      </top>
      <bottom style="medium">
        <color indexed="64"/>
      </bottom>
      <diagonal/>
    </border>
    <border>
      <left style="thin">
        <color rgb="FF595959"/>
      </left>
      <right style="medium">
        <color auto="1"/>
      </right>
      <top style="thin">
        <color rgb="FF595959"/>
      </top>
      <bottom style="medium">
        <color rgb="FF595959"/>
      </bottom>
      <diagonal/>
    </border>
    <border>
      <left/>
      <right/>
      <top style="medium">
        <color auto="1"/>
      </top>
      <bottom style="thin">
        <color indexed="64"/>
      </bottom>
      <diagonal/>
    </border>
    <border>
      <left/>
      <right style="thin">
        <color rgb="FF595959"/>
      </right>
      <top style="thin">
        <color rgb="FF595959"/>
      </top>
      <bottom style="thin">
        <color rgb="FF595959"/>
      </bottom>
      <diagonal/>
    </border>
    <border>
      <left/>
      <right style="medium">
        <color rgb="FF595959"/>
      </right>
      <top style="medium">
        <color rgb="FF595959"/>
      </top>
      <bottom style="medium">
        <color rgb="FF595959"/>
      </bottom>
      <diagonal/>
    </border>
    <border>
      <left style="thin">
        <color rgb="FF595959"/>
      </left>
      <right style="medium">
        <color rgb="FF595959"/>
      </right>
      <top style="thin">
        <color rgb="FF595959"/>
      </top>
      <bottom style="thin">
        <color rgb="FF595959"/>
      </bottom>
      <diagonal/>
    </border>
    <border>
      <left style="thin">
        <color rgb="FF595959"/>
      </left>
      <right style="medium">
        <color rgb="FF595959"/>
      </right>
      <top style="thin">
        <color rgb="FF595959"/>
      </top>
      <bottom style="medium">
        <color auto="1"/>
      </bottom>
      <diagonal/>
    </border>
    <border>
      <left/>
      <right style="thin">
        <color rgb="FF595959"/>
      </right>
      <top style="thin">
        <color rgb="FF595959"/>
      </top>
      <bottom style="medium">
        <color auto="1"/>
      </bottom>
      <diagonal/>
    </border>
    <border>
      <left/>
      <right style="medium">
        <color rgb="FF595959"/>
      </right>
      <top style="thin">
        <color rgb="FF595959"/>
      </top>
      <bottom style="thin">
        <color rgb="FF595959"/>
      </bottom>
      <diagonal/>
    </border>
    <border>
      <left style="thin">
        <color rgb="FF595959"/>
      </left>
      <right style="thin">
        <color rgb="FF595959"/>
      </right>
      <top style="thin">
        <color rgb="FF595959"/>
      </top>
      <bottom style="thin">
        <color rgb="FF595959"/>
      </bottom>
      <diagonal/>
    </border>
    <border>
      <left style="thin">
        <color rgb="FF595959"/>
      </left>
      <right style="thin">
        <color rgb="FF595959"/>
      </right>
      <top/>
      <bottom style="medium">
        <color rgb="FF595959"/>
      </bottom>
      <diagonal/>
    </border>
  </borders>
  <cellStyleXfs count="57">
    <xf numFmtId="0" fontId="0" fillId="0" borderId="0">
      <alignment horizontal="left" wrapText="1"/>
    </xf>
    <xf numFmtId="0" fontId="6" fillId="0" borderId="2" applyNumberFormat="0" applyFill="0" applyProtection="0">
      <alignment vertical="center"/>
    </xf>
    <xf numFmtId="0" fontId="7" fillId="0" borderId="0" applyNumberFormat="0" applyFill="0" applyBorder="0" applyProtection="0"/>
    <xf numFmtId="0" fontId="12" fillId="0" borderId="2">
      <alignment horizontal="left"/>
    </xf>
    <xf numFmtId="0" fontId="10" fillId="0" borderId="3">
      <alignment horizontal="left"/>
    </xf>
    <xf numFmtId="0" fontId="9" fillId="0" borderId="0" applyNumberFormat="0" applyFill="0" applyBorder="0" applyAlignment="0" applyProtection="0"/>
    <xf numFmtId="0" fontId="9" fillId="0" borderId="0" applyNumberFormat="0" applyFill="0" applyBorder="0" applyAlignment="0" applyProtection="0"/>
    <xf numFmtId="168" fontId="9" fillId="0" borderId="0" applyFont="0" applyFill="0" applyBorder="0" applyProtection="0">
      <alignment horizontal="left"/>
    </xf>
    <xf numFmtId="165" fontId="9" fillId="0" borderId="0" applyFont="0" applyFill="0" applyBorder="0" applyAlignment="0" applyProtection="0"/>
    <xf numFmtId="164" fontId="9" fillId="0" borderId="0" applyFont="0" applyFill="0" applyBorder="0" applyProtection="0">
      <alignment horizontal="right"/>
    </xf>
    <xf numFmtId="164" fontId="8" fillId="2" borderId="1" applyAlignment="0" applyProtection="0"/>
    <xf numFmtId="10" fontId="9" fillId="0" borderId="0" applyFont="0" applyFill="0" applyBorder="0" applyProtection="0">
      <alignment horizontal="right"/>
    </xf>
    <xf numFmtId="0" fontId="9" fillId="0" borderId="0" applyNumberFormat="0" applyFont="0" applyFill="0" applyBorder="0">
      <alignment horizontal="right" wrapText="1" indent="1"/>
    </xf>
    <xf numFmtId="0" fontId="9" fillId="0" borderId="0">
      <alignment horizontal="left" vertical="top" wrapText="1"/>
    </xf>
    <xf numFmtId="0" fontId="8" fillId="0" borderId="0">
      <alignment horizontal="right" indent="1"/>
    </xf>
    <xf numFmtId="166" fontId="9" fillId="0" borderId="0" applyFont="0" applyFill="0" applyBorder="0" applyAlignment="0">
      <alignment horizontal="left" wrapText="1"/>
    </xf>
    <xf numFmtId="14" fontId="9" fillId="0" borderId="0" applyFont="0" applyFill="0" applyBorder="0" applyAlignment="0">
      <alignment horizontal="left" wrapText="1"/>
    </xf>
    <xf numFmtId="0" fontId="11" fillId="0" borderId="1" applyNumberFormat="0" applyFont="0" applyFill="0" applyAlignment="0" applyProtection="0"/>
    <xf numFmtId="0" fontId="13" fillId="0" borderId="0" applyNumberFormat="0" applyFill="0" applyBorder="0" applyAlignment="0" applyProtection="0"/>
    <xf numFmtId="0" fontId="9" fillId="0" borderId="4" applyNumberFormat="0" applyProtection="0">
      <alignment vertical="top" wrapText="1"/>
    </xf>
    <xf numFmtId="0" fontId="9" fillId="0" borderId="0">
      <alignment horizontal="right" indent="1"/>
    </xf>
    <xf numFmtId="0" fontId="5" fillId="0" borderId="0">
      <alignment horizontal="left" vertical="center" wrapText="1"/>
    </xf>
    <xf numFmtId="0" fontId="14" fillId="3" borderId="0" applyNumberFormat="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5" applyNumberFormat="0" applyAlignment="0" applyProtection="0"/>
    <xf numFmtId="0" fontId="18" fillId="6" borderId="6" applyNumberFormat="0" applyAlignment="0" applyProtection="0"/>
    <xf numFmtId="0" fontId="19" fillId="0" borderId="7" applyNumberFormat="0" applyFill="0" applyAlignment="0" applyProtection="0"/>
    <xf numFmtId="0" fontId="20" fillId="7" borderId="8" applyNumberFormat="0" applyAlignment="0" applyProtection="0"/>
    <xf numFmtId="0" fontId="5"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5"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5"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5"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15" applyBorder="0">
      <alignment horizontal="center" vertical="center"/>
    </xf>
    <xf numFmtId="0" fontId="24" fillId="33" borderId="16">
      <alignment horizontal="left" vertical="center" indent="1"/>
    </xf>
    <xf numFmtId="0" fontId="25" fillId="34" borderId="17" applyNumberFormat="0">
      <alignment horizontal="center" vertical="center"/>
    </xf>
    <xf numFmtId="0" fontId="9" fillId="35" borderId="18">
      <alignment horizontal="center" vertical="center"/>
    </xf>
  </cellStyleXfs>
  <cellXfs count="438">
    <xf numFmtId="0" fontId="0" fillId="0" borderId="0" xfId="0">
      <alignment horizontal="left" wrapText="1"/>
    </xf>
    <xf numFmtId="0" fontId="0" fillId="0" borderId="0" xfId="0" applyAlignment="1"/>
    <xf numFmtId="0" fontId="21" fillId="0" borderId="0" xfId="0" applyFont="1" applyAlignment="1"/>
    <xf numFmtId="0" fontId="31" fillId="36" borderId="0" xfId="0" applyFont="1" applyFill="1" applyAlignment="1">
      <alignment horizontal="right" wrapText="1"/>
    </xf>
    <xf numFmtId="0" fontId="0" fillId="36" borderId="0" xfId="0" applyFill="1">
      <alignment horizontal="left" wrapText="1"/>
    </xf>
    <xf numFmtId="0" fontId="0" fillId="36" borderId="27" xfId="0" applyFill="1" applyBorder="1">
      <alignment horizontal="left" wrapText="1"/>
    </xf>
    <xf numFmtId="0" fontId="0" fillId="0" borderId="26" xfId="0" applyBorder="1">
      <alignment horizontal="left" wrapText="1"/>
    </xf>
    <xf numFmtId="0" fontId="0" fillId="0" borderId="26" xfId="0" applyBorder="1" applyAlignment="1"/>
    <xf numFmtId="0" fontId="28" fillId="36" borderId="0" xfId="0" applyFont="1" applyFill="1" applyAlignment="1">
      <alignment horizontal="right" wrapText="1"/>
    </xf>
    <xf numFmtId="0" fontId="22" fillId="0" borderId="0" xfId="33" applyFont="1" applyFill="1" applyBorder="1" applyAlignment="1">
      <alignment vertical="center"/>
    </xf>
    <xf numFmtId="0" fontId="35" fillId="0" borderId="0" xfId="33" applyFont="1" applyFill="1" applyBorder="1" applyAlignment="1">
      <alignment vertical="center"/>
    </xf>
    <xf numFmtId="0" fontId="5" fillId="0" borderId="0" xfId="33" applyFill="1" applyBorder="1" applyAlignment="1">
      <alignment vertical="center"/>
    </xf>
    <xf numFmtId="0" fontId="0" fillId="36" borderId="19" xfId="0" applyFill="1" applyBorder="1">
      <alignment horizontal="left" wrapText="1"/>
    </xf>
    <xf numFmtId="0" fontId="45" fillId="36" borderId="9" xfId="0" applyFont="1" applyFill="1" applyBorder="1">
      <alignment horizontal="left" wrapText="1"/>
    </xf>
    <xf numFmtId="0" fontId="0" fillId="0" borderId="0" xfId="0" applyAlignment="1">
      <alignment horizontal="left" vertical="center" wrapText="1"/>
    </xf>
    <xf numFmtId="0" fontId="0" fillId="0" borderId="0" xfId="0" quotePrefix="1">
      <alignment horizontal="left" wrapText="1"/>
    </xf>
    <xf numFmtId="0" fontId="0" fillId="38" borderId="0" xfId="0" applyFill="1" applyAlignment="1">
      <alignment vertical="top" wrapText="1"/>
    </xf>
    <xf numFmtId="0" fontId="0" fillId="36" borderId="30" xfId="0" applyFill="1" applyBorder="1">
      <alignment horizontal="left" wrapText="1"/>
    </xf>
    <xf numFmtId="0" fontId="29" fillId="40" borderId="12" xfId="0" applyFont="1" applyFill="1" applyBorder="1">
      <alignment horizontal="left" wrapText="1"/>
    </xf>
    <xf numFmtId="0" fontId="28" fillId="40" borderId="24" xfId="0" applyFont="1" applyFill="1" applyBorder="1">
      <alignment horizontal="left" wrapText="1"/>
    </xf>
    <xf numFmtId="0" fontId="29" fillId="41" borderId="12" xfId="0" applyFont="1" applyFill="1" applyBorder="1">
      <alignment horizontal="left" wrapText="1"/>
    </xf>
    <xf numFmtId="0" fontId="29" fillId="42" borderId="12" xfId="0" applyFont="1" applyFill="1" applyBorder="1">
      <alignment horizontal="left" wrapText="1"/>
    </xf>
    <xf numFmtId="0" fontId="29" fillId="43" borderId="12" xfId="0" applyFont="1" applyFill="1" applyBorder="1">
      <alignment horizontal="left" wrapText="1"/>
    </xf>
    <xf numFmtId="0" fontId="43" fillId="0" borderId="0" xfId="0" applyFont="1" applyAlignment="1">
      <alignment horizontal="left" wrapText="1" indent="1"/>
    </xf>
    <xf numFmtId="0" fontId="21" fillId="0" borderId="0" xfId="0" applyFont="1">
      <alignment horizontal="left" wrapText="1"/>
    </xf>
    <xf numFmtId="0" fontId="0" fillId="0" borderId="33" xfId="0" applyBorder="1">
      <alignment horizontal="left" wrapText="1"/>
    </xf>
    <xf numFmtId="0" fontId="0" fillId="0" borderId="33" xfId="0" applyBorder="1" applyAlignment="1"/>
    <xf numFmtId="0" fontId="0" fillId="38" borderId="0" xfId="0" applyFill="1">
      <alignment horizontal="left" wrapText="1"/>
    </xf>
    <xf numFmtId="0" fontId="27" fillId="36" borderId="21" xfId="0" applyFont="1" applyFill="1" applyBorder="1">
      <alignment horizontal="left" wrapText="1"/>
    </xf>
    <xf numFmtId="0" fontId="0" fillId="0" borderId="20" xfId="0" applyBorder="1">
      <alignment horizontal="left" wrapText="1"/>
    </xf>
    <xf numFmtId="0" fontId="0" fillId="36" borderId="40" xfId="0" applyFill="1" applyBorder="1">
      <alignment horizontal="left" wrapText="1"/>
    </xf>
    <xf numFmtId="0" fontId="28" fillId="40" borderId="41" xfId="0" applyFont="1" applyFill="1" applyBorder="1">
      <alignment horizontal="left" wrapText="1"/>
    </xf>
    <xf numFmtId="0" fontId="27" fillId="36" borderId="36" xfId="0" applyFont="1" applyFill="1" applyBorder="1">
      <alignment horizontal="left" wrapText="1"/>
    </xf>
    <xf numFmtId="0" fontId="30" fillId="37" borderId="46" xfId="0" applyFont="1" applyFill="1" applyBorder="1" applyAlignment="1">
      <alignment wrapText="1"/>
    </xf>
    <xf numFmtId="0" fontId="0" fillId="36" borderId="34" xfId="0" applyFill="1" applyBorder="1">
      <alignment horizontal="left" wrapText="1"/>
    </xf>
    <xf numFmtId="0" fontId="27" fillId="36" borderId="35" xfId="0" applyFont="1" applyFill="1" applyBorder="1">
      <alignment horizontal="left" wrapText="1"/>
    </xf>
    <xf numFmtId="0" fontId="35" fillId="36" borderId="53" xfId="0" applyFont="1" applyFill="1" applyBorder="1">
      <alignment horizontal="left" wrapText="1"/>
    </xf>
    <xf numFmtId="0" fontId="45" fillId="36" borderId="53" xfId="0" applyFont="1" applyFill="1" applyBorder="1">
      <alignment horizontal="left" wrapText="1"/>
    </xf>
    <xf numFmtId="0" fontId="35" fillId="36" borderId="9" xfId="0" applyFont="1" applyFill="1" applyBorder="1">
      <alignment horizontal="left" wrapText="1"/>
    </xf>
    <xf numFmtId="0" fontId="35" fillId="36" borderId="10" xfId="0" applyFont="1" applyFill="1" applyBorder="1">
      <alignment horizontal="left" wrapText="1"/>
    </xf>
    <xf numFmtId="0" fontId="35" fillId="36" borderId="11" xfId="0" applyFont="1" applyFill="1" applyBorder="1">
      <alignment horizontal="left" wrapText="1"/>
    </xf>
    <xf numFmtId="0" fontId="28" fillId="40" borderId="9" xfId="0" applyFont="1" applyFill="1" applyBorder="1">
      <alignment horizontal="left" wrapText="1"/>
    </xf>
    <xf numFmtId="0" fontId="0" fillId="0" borderId="0" xfId="0" applyAlignment="1">
      <alignment wrapText="1"/>
    </xf>
    <xf numFmtId="0" fontId="46" fillId="0" borderId="0" xfId="0" applyFont="1">
      <alignment horizontal="left" wrapText="1"/>
    </xf>
    <xf numFmtId="0" fontId="0" fillId="38" borderId="0" xfId="0" applyFill="1" applyAlignment="1">
      <alignment horizontal="left" vertical="top" wrapText="1"/>
    </xf>
    <xf numFmtId="0" fontId="0" fillId="0" borderId="28" xfId="0" applyBorder="1">
      <alignment horizontal="left" wrapText="1"/>
    </xf>
    <xf numFmtId="0" fontId="21" fillId="0" borderId="11" xfId="0" applyFont="1" applyBorder="1">
      <alignment horizontal="left" wrapText="1"/>
    </xf>
    <xf numFmtId="0" fontId="21" fillId="36" borderId="11" xfId="0" applyFont="1" applyFill="1" applyBorder="1">
      <alignment horizontal="left" wrapText="1"/>
    </xf>
    <xf numFmtId="0" fontId="21" fillId="0" borderId="10" xfId="0" applyFont="1" applyBorder="1">
      <alignment horizontal="left" wrapText="1"/>
    </xf>
    <xf numFmtId="0" fontId="33" fillId="0" borderId="9" xfId="0" applyFont="1" applyBorder="1">
      <alignment horizontal="left" wrapText="1"/>
    </xf>
    <xf numFmtId="0" fontId="33" fillId="0" borderId="23" xfId="0" applyFont="1" applyBorder="1">
      <alignment horizontal="left" wrapText="1"/>
    </xf>
    <xf numFmtId="0" fontId="31" fillId="36" borderId="0" xfId="0" applyFont="1" applyFill="1">
      <alignment horizontal="left" wrapText="1"/>
    </xf>
    <xf numFmtId="0" fontId="28" fillId="36" borderId="0" xfId="0" applyFont="1" applyFill="1">
      <alignment horizontal="left" wrapText="1"/>
    </xf>
    <xf numFmtId="0" fontId="33" fillId="0" borderId="23" xfId="0" applyFont="1" applyBorder="1" applyAlignment="1">
      <alignment wrapText="1"/>
    </xf>
    <xf numFmtId="0" fontId="28" fillId="36" borderId="0" xfId="0" applyFont="1" applyFill="1" applyAlignment="1">
      <alignment wrapText="1"/>
    </xf>
    <xf numFmtId="0" fontId="31" fillId="36" borderId="0" xfId="0" applyFont="1" applyFill="1" applyAlignment="1">
      <alignment wrapText="1"/>
    </xf>
    <xf numFmtId="0" fontId="0" fillId="36" borderId="19" xfId="0" applyFill="1" applyBorder="1" applyAlignment="1">
      <alignment wrapText="1"/>
    </xf>
    <xf numFmtId="0" fontId="0" fillId="36" borderId="0" xfId="0" applyFill="1" applyAlignment="1">
      <alignment wrapText="1"/>
    </xf>
    <xf numFmtId="0" fontId="33" fillId="0" borderId="9" xfId="0" applyFont="1" applyBorder="1" applyAlignment="1">
      <alignment wrapText="1"/>
    </xf>
    <xf numFmtId="0" fontId="28" fillId="39" borderId="12" xfId="0" applyFont="1" applyFill="1" applyBorder="1">
      <alignment horizontal="left" wrapText="1"/>
    </xf>
    <xf numFmtId="0" fontId="33" fillId="0" borderId="11" xfId="0" applyFont="1" applyBorder="1">
      <alignment horizontal="left" wrapText="1"/>
    </xf>
    <xf numFmtId="0" fontId="33" fillId="0" borderId="37" xfId="0" applyFont="1" applyBorder="1">
      <alignment horizontal="left" wrapText="1"/>
    </xf>
    <xf numFmtId="0" fontId="28" fillId="39" borderId="24" xfId="0" applyFont="1" applyFill="1" applyBorder="1">
      <alignment horizontal="left" wrapText="1"/>
    </xf>
    <xf numFmtId="0" fontId="31" fillId="36" borderId="19" xfId="0" applyFont="1" applyFill="1" applyBorder="1">
      <alignment horizontal="left" wrapText="1"/>
    </xf>
    <xf numFmtId="0" fontId="31" fillId="36" borderId="32" xfId="0" applyFont="1" applyFill="1" applyBorder="1">
      <alignment horizontal="left" wrapText="1"/>
    </xf>
    <xf numFmtId="0" fontId="33" fillId="0" borderId="44" xfId="0" applyFont="1" applyBorder="1">
      <alignment horizontal="left" wrapText="1"/>
    </xf>
    <xf numFmtId="0" fontId="50" fillId="36" borderId="32" xfId="0" applyFont="1" applyFill="1" applyBorder="1">
      <alignment horizontal="left" wrapText="1"/>
    </xf>
    <xf numFmtId="0" fontId="50" fillId="36" borderId="0" xfId="0" applyFont="1" applyFill="1">
      <alignment horizontal="left" wrapText="1"/>
    </xf>
    <xf numFmtId="0" fontId="33" fillId="0" borderId="42" xfId="0" applyFont="1" applyBorder="1">
      <alignment horizontal="left" wrapText="1"/>
    </xf>
    <xf numFmtId="0" fontId="33" fillId="0" borderId="43" xfId="0" applyFont="1" applyBorder="1">
      <alignment horizontal="left" wrapText="1"/>
    </xf>
    <xf numFmtId="0" fontId="45" fillId="36" borderId="14" xfId="0" applyFont="1" applyFill="1" applyBorder="1" applyAlignment="1">
      <alignment wrapText="1"/>
    </xf>
    <xf numFmtId="0" fontId="28" fillId="40" borderId="21" xfId="0" applyFont="1" applyFill="1" applyBorder="1">
      <alignment horizontal="left" wrapText="1"/>
    </xf>
    <xf numFmtId="0" fontId="33" fillId="0" borderId="10" xfId="0" applyFont="1" applyBorder="1">
      <alignment horizontal="left" wrapText="1"/>
    </xf>
    <xf numFmtId="0" fontId="28" fillId="41" borderId="24" xfId="0" applyFont="1" applyFill="1" applyBorder="1">
      <alignment horizontal="left" wrapText="1"/>
    </xf>
    <xf numFmtId="0" fontId="29" fillId="41" borderId="12" xfId="0" applyFont="1" applyFill="1" applyBorder="1" applyAlignment="1">
      <alignment wrapText="1"/>
    </xf>
    <xf numFmtId="0" fontId="35" fillId="36" borderId="9" xfId="0" applyFont="1" applyFill="1" applyBorder="1" applyAlignment="1">
      <alignment wrapText="1"/>
    </xf>
    <xf numFmtId="0" fontId="45" fillId="36" borderId="53" xfId="0" applyFont="1" applyFill="1" applyBorder="1" applyAlignment="1">
      <alignment wrapText="1"/>
    </xf>
    <xf numFmtId="0" fontId="28" fillId="41" borderId="24" xfId="0" applyFont="1" applyFill="1" applyBorder="1" applyAlignment="1">
      <alignment wrapText="1"/>
    </xf>
    <xf numFmtId="0" fontId="31" fillId="36" borderId="19" xfId="0" applyFont="1" applyFill="1" applyBorder="1" applyAlignment="1">
      <alignment wrapText="1"/>
    </xf>
    <xf numFmtId="0" fontId="27" fillId="36" borderId="21" xfId="0" applyFont="1" applyFill="1" applyBorder="1" applyAlignment="1">
      <alignment wrapText="1"/>
    </xf>
    <xf numFmtId="0" fontId="0" fillId="36" borderId="30" xfId="0" applyFill="1" applyBorder="1" applyAlignment="1">
      <alignment wrapText="1"/>
    </xf>
    <xf numFmtId="0" fontId="28" fillId="42" borderId="24" xfId="0" applyFont="1" applyFill="1" applyBorder="1" applyAlignment="1">
      <alignment wrapText="1"/>
    </xf>
    <xf numFmtId="0" fontId="28" fillId="43" borderId="24" xfId="0" applyFont="1" applyFill="1" applyBorder="1">
      <alignment horizontal="left" wrapText="1"/>
    </xf>
    <xf numFmtId="0" fontId="21" fillId="36" borderId="14" xfId="0" applyFont="1" applyFill="1" applyBorder="1">
      <alignment horizontal="left" wrapText="1"/>
    </xf>
    <xf numFmtId="0" fontId="21" fillId="0" borderId="12" xfId="0" applyFont="1" applyBorder="1">
      <alignment horizontal="left" wrapText="1"/>
    </xf>
    <xf numFmtId="0" fontId="21" fillId="0" borderId="9" xfId="0" applyFont="1" applyBorder="1">
      <alignment horizontal="left" wrapText="1"/>
    </xf>
    <xf numFmtId="0" fontId="21" fillId="36" borderId="23" xfId="0" applyFont="1" applyFill="1" applyBorder="1">
      <alignment horizontal="left" wrapText="1"/>
    </xf>
    <xf numFmtId="0" fontId="34" fillId="36" borderId="19" xfId="0" applyFont="1" applyFill="1" applyBorder="1">
      <alignment horizontal="left" wrapText="1"/>
    </xf>
    <xf numFmtId="0" fontId="21" fillId="36" borderId="9" xfId="0" applyFont="1" applyFill="1" applyBorder="1">
      <alignment horizontal="left" wrapText="1"/>
    </xf>
    <xf numFmtId="0" fontId="3" fillId="0" borderId="0" xfId="0" applyFont="1">
      <alignment horizontal="left" wrapText="1"/>
    </xf>
    <xf numFmtId="0" fontId="27" fillId="36" borderId="32" xfId="0" applyFont="1" applyFill="1" applyBorder="1">
      <alignment horizontal="left" wrapText="1"/>
    </xf>
    <xf numFmtId="0" fontId="27" fillId="36" borderId="19" xfId="0" applyFont="1" applyFill="1" applyBorder="1">
      <alignment horizontal="left" wrapText="1"/>
    </xf>
    <xf numFmtId="0" fontId="0" fillId="0" borderId="58" xfId="0" applyBorder="1">
      <alignment horizontal="left" wrapText="1"/>
    </xf>
    <xf numFmtId="0" fontId="0" fillId="0" borderId="59" xfId="0" applyBorder="1">
      <alignment horizontal="left" wrapText="1"/>
    </xf>
    <xf numFmtId="0" fontId="0" fillId="0" borderId="0" xfId="5" applyFont="1" applyAlignment="1">
      <alignment horizontal="left" wrapText="1"/>
    </xf>
    <xf numFmtId="0" fontId="33" fillId="0" borderId="10" xfId="0" applyFont="1" applyBorder="1" applyAlignment="1">
      <alignment wrapText="1"/>
    </xf>
    <xf numFmtId="0" fontId="0" fillId="0" borderId="22" xfId="0" applyBorder="1">
      <alignment horizontal="left" wrapText="1"/>
    </xf>
    <xf numFmtId="0" fontId="0" fillId="0" borderId="0" xfId="0" applyAlignment="1">
      <alignment horizontal="center" wrapText="1"/>
    </xf>
    <xf numFmtId="0" fontId="50" fillId="36" borderId="0" xfId="0" applyFont="1" applyFill="1" applyAlignment="1">
      <alignment horizontal="right" wrapText="1"/>
    </xf>
    <xf numFmtId="0" fontId="50" fillId="36" borderId="0" xfId="0" applyFont="1" applyFill="1" applyAlignment="1">
      <alignment wrapText="1"/>
    </xf>
    <xf numFmtId="0" fontId="0" fillId="38" borderId="23" xfId="0" applyFill="1" applyBorder="1" applyAlignment="1">
      <alignment vertical="top" wrapText="1"/>
    </xf>
    <xf numFmtId="0" fontId="28" fillId="36" borderId="22" xfId="0" applyFont="1" applyFill="1" applyBorder="1" applyAlignment="1">
      <alignment wrapText="1"/>
    </xf>
    <xf numFmtId="0" fontId="41" fillId="0" borderId="0" xfId="33" applyFont="1" applyFill="1" applyBorder="1" applyAlignment="1">
      <alignment vertical="center"/>
    </xf>
    <xf numFmtId="0" fontId="46" fillId="0" borderId="0" xfId="0" applyFont="1" applyAlignment="1">
      <alignment wrapText="1"/>
    </xf>
    <xf numFmtId="0" fontId="35" fillId="0" borderId="0" xfId="0" applyFont="1">
      <alignment horizontal="left" wrapText="1"/>
    </xf>
    <xf numFmtId="0" fontId="32" fillId="0" borderId="0" xfId="0" applyFont="1">
      <alignment horizontal="left" wrapText="1"/>
    </xf>
    <xf numFmtId="0" fontId="31" fillId="36" borderId="14" xfId="0" applyFont="1" applyFill="1" applyBorder="1" applyAlignment="1">
      <alignment wrapText="1"/>
    </xf>
    <xf numFmtId="0" fontId="31" fillId="36" borderId="32" xfId="0" applyFont="1" applyFill="1" applyBorder="1" applyAlignment="1">
      <alignment wrapText="1"/>
    </xf>
    <xf numFmtId="0" fontId="28" fillId="36" borderId="14" xfId="0" applyFont="1" applyFill="1" applyBorder="1" applyAlignment="1">
      <alignment wrapText="1"/>
    </xf>
    <xf numFmtId="0" fontId="28" fillId="36" borderId="32" xfId="0" applyFont="1" applyFill="1" applyBorder="1" applyAlignment="1">
      <alignment wrapText="1"/>
    </xf>
    <xf numFmtId="0" fontId="61" fillId="36" borderId="53" xfId="0" applyFont="1" applyFill="1" applyBorder="1" applyAlignment="1">
      <alignment horizontal="left"/>
    </xf>
    <xf numFmtId="0" fontId="61" fillId="36" borderId="11" xfId="0" applyFont="1" applyFill="1" applyBorder="1" applyAlignment="1">
      <alignment horizontal="left"/>
    </xf>
    <xf numFmtId="0" fontId="61" fillId="36" borderId="9" xfId="0" applyFont="1" applyFill="1" applyBorder="1" applyAlignment="1">
      <alignment horizontal="left"/>
    </xf>
    <xf numFmtId="0" fontId="61" fillId="36" borderId="54" xfId="0" applyFont="1" applyFill="1" applyBorder="1" applyAlignment="1">
      <alignment horizontal="left"/>
    </xf>
    <xf numFmtId="0" fontId="61" fillId="36" borderId="25" xfId="0" applyFont="1" applyFill="1" applyBorder="1" applyAlignment="1">
      <alignment horizontal="left"/>
    </xf>
    <xf numFmtId="0" fontId="61" fillId="36" borderId="25" xfId="0" applyFont="1" applyFill="1" applyBorder="1" applyAlignment="1"/>
    <xf numFmtId="0" fontId="61" fillId="36" borderId="53" xfId="0" applyFont="1" applyFill="1" applyBorder="1" applyAlignment="1"/>
    <xf numFmtId="0" fontId="33" fillId="38" borderId="9" xfId="0" applyFont="1" applyFill="1" applyBorder="1">
      <alignment horizontal="left" wrapText="1"/>
    </xf>
    <xf numFmtId="0" fontId="27" fillId="36" borderId="31" xfId="0" applyFont="1" applyFill="1" applyBorder="1">
      <alignment horizontal="left" wrapText="1"/>
    </xf>
    <xf numFmtId="0" fontId="50" fillId="36" borderId="31" xfId="0" applyFont="1" applyFill="1" applyBorder="1">
      <alignment horizontal="left" wrapText="1"/>
    </xf>
    <xf numFmtId="0" fontId="27" fillId="36" borderId="31" xfId="0" applyFont="1" applyFill="1" applyBorder="1" applyAlignment="1">
      <alignment wrapText="1"/>
    </xf>
    <xf numFmtId="0" fontId="45" fillId="36" borderId="11" xfId="0" applyFont="1" applyFill="1" applyBorder="1">
      <alignment horizontal="left" wrapText="1"/>
    </xf>
    <xf numFmtId="0" fontId="35" fillId="36" borderId="11" xfId="0" applyFont="1" applyFill="1" applyBorder="1" applyAlignment="1">
      <alignment wrapText="1"/>
    </xf>
    <xf numFmtId="0" fontId="35" fillId="36" borderId="10" xfId="0" applyFont="1" applyFill="1" applyBorder="1" applyAlignment="1">
      <alignment wrapText="1"/>
    </xf>
    <xf numFmtId="0" fontId="45" fillId="36" borderId="14" xfId="0" applyFont="1" applyFill="1" applyBorder="1">
      <alignment horizontal="left" wrapText="1"/>
    </xf>
    <xf numFmtId="0" fontId="61" fillId="36" borderId="44" xfId="0" applyFont="1" applyFill="1" applyBorder="1" applyAlignment="1">
      <alignment horizontal="left"/>
    </xf>
    <xf numFmtId="0" fontId="33" fillId="38" borderId="23" xfId="0" applyFont="1" applyFill="1" applyBorder="1">
      <alignment horizontal="left" wrapText="1"/>
    </xf>
    <xf numFmtId="0" fontId="61" fillId="36" borderId="9" xfId="0" applyFont="1" applyFill="1" applyBorder="1">
      <alignment horizontal="left" wrapText="1"/>
    </xf>
    <xf numFmtId="0" fontId="61" fillId="36" borderId="23" xfId="0" applyFont="1" applyFill="1" applyBorder="1" applyAlignment="1">
      <alignment horizontal="left"/>
    </xf>
    <xf numFmtId="0" fontId="45" fillId="36" borderId="61" xfId="0" applyFont="1" applyFill="1" applyBorder="1">
      <alignment horizontal="left" wrapText="1"/>
    </xf>
    <xf numFmtId="0" fontId="30" fillId="38" borderId="0" xfId="0" applyFont="1" applyFill="1" applyAlignment="1">
      <alignment horizontal="center" wrapText="1"/>
    </xf>
    <xf numFmtId="0" fontId="29" fillId="39" borderId="9" xfId="0" applyFont="1" applyFill="1" applyBorder="1" applyAlignment="1">
      <alignment wrapText="1"/>
    </xf>
    <xf numFmtId="0" fontId="28" fillId="39" borderId="9" xfId="0" applyFont="1" applyFill="1" applyBorder="1">
      <alignment horizontal="left" wrapText="1"/>
    </xf>
    <xf numFmtId="0" fontId="0" fillId="36" borderId="21" xfId="0" applyFill="1" applyBorder="1">
      <alignment horizontal="left" wrapText="1"/>
    </xf>
    <xf numFmtId="0" fontId="32" fillId="38" borderId="0" xfId="0" applyFont="1" applyFill="1">
      <alignment horizontal="left" wrapText="1"/>
    </xf>
    <xf numFmtId="0" fontId="33" fillId="0" borderId="28" xfId="0" applyFont="1" applyBorder="1">
      <alignment horizontal="left" wrapText="1"/>
    </xf>
    <xf numFmtId="0" fontId="33" fillId="36" borderId="11" xfId="0" applyFont="1" applyFill="1" applyBorder="1">
      <alignment horizontal="left" wrapText="1"/>
    </xf>
    <xf numFmtId="0" fontId="29" fillId="39" borderId="9" xfId="0" applyFont="1" applyFill="1" applyBorder="1">
      <alignment horizontal="left" wrapText="1"/>
    </xf>
    <xf numFmtId="0" fontId="0" fillId="37" borderId="63" xfId="0" applyFill="1" applyBorder="1" applyAlignment="1">
      <alignment horizontal="left"/>
    </xf>
    <xf numFmtId="0" fontId="45" fillId="36" borderId="45" xfId="0" applyFont="1" applyFill="1" applyBorder="1">
      <alignment horizontal="left" wrapText="1"/>
    </xf>
    <xf numFmtId="0" fontId="28" fillId="40" borderId="12" xfId="0" applyFont="1" applyFill="1" applyBorder="1">
      <alignment horizontal="left" wrapText="1"/>
    </xf>
    <xf numFmtId="0" fontId="33" fillId="0" borderId="14" xfId="0" applyFont="1" applyBorder="1">
      <alignment horizontal="left" wrapText="1"/>
    </xf>
    <xf numFmtId="0" fontId="61" fillId="36" borderId="56" xfId="0" applyFont="1" applyFill="1" applyBorder="1" applyAlignment="1">
      <alignment horizontal="left"/>
    </xf>
    <xf numFmtId="0" fontId="45" fillId="36" borderId="56" xfId="0" applyFont="1" applyFill="1" applyBorder="1">
      <alignment horizontal="left" wrapText="1"/>
    </xf>
    <xf numFmtId="0" fontId="29" fillId="40" borderId="9" xfId="0" applyFont="1" applyFill="1" applyBorder="1">
      <alignment horizontal="left" wrapText="1"/>
    </xf>
    <xf numFmtId="0" fontId="0" fillId="36" borderId="24" xfId="0" applyFill="1" applyBorder="1">
      <alignment horizontal="left" wrapText="1"/>
    </xf>
    <xf numFmtId="0" fontId="29" fillId="40" borderId="24" xfId="0" applyFont="1" applyFill="1" applyBorder="1">
      <alignment horizontal="left" wrapText="1"/>
    </xf>
    <xf numFmtId="0" fontId="35" fillId="36" borderId="65" xfId="0" applyFont="1" applyFill="1" applyBorder="1">
      <alignment horizontal="left" wrapText="1"/>
    </xf>
    <xf numFmtId="0" fontId="61" fillId="36" borderId="31" xfId="0" applyFont="1" applyFill="1" applyBorder="1" applyAlignment="1">
      <alignment horizontal="left"/>
    </xf>
    <xf numFmtId="0" fontId="61" fillId="36" borderId="38" xfId="0" applyFont="1" applyFill="1" applyBorder="1" applyAlignment="1">
      <alignment horizontal="left"/>
    </xf>
    <xf numFmtId="0" fontId="61" fillId="36" borderId="68" xfId="0" applyFont="1" applyFill="1" applyBorder="1" applyAlignment="1">
      <alignment horizontal="left"/>
    </xf>
    <xf numFmtId="0" fontId="33" fillId="0" borderId="61" xfId="0" applyFont="1" applyBorder="1">
      <alignment horizontal="left" wrapText="1"/>
    </xf>
    <xf numFmtId="0" fontId="33" fillId="0" borderId="31" xfId="0" applyFont="1" applyBorder="1">
      <alignment horizontal="left" wrapText="1"/>
    </xf>
    <xf numFmtId="0" fontId="61" fillId="36" borderId="26" xfId="0" applyFont="1" applyFill="1" applyBorder="1" applyAlignment="1">
      <alignment horizontal="left"/>
    </xf>
    <xf numFmtId="0" fontId="45" fillId="36" borderId="71" xfId="0" applyFont="1" applyFill="1" applyBorder="1">
      <alignment horizontal="left" wrapText="1"/>
    </xf>
    <xf numFmtId="0" fontId="33" fillId="0" borderId="32" xfId="0" applyFont="1" applyBorder="1">
      <alignment horizontal="left" wrapText="1"/>
    </xf>
    <xf numFmtId="0" fontId="61" fillId="36" borderId="32" xfId="0" applyFont="1" applyFill="1" applyBorder="1" applyAlignment="1"/>
    <xf numFmtId="0" fontId="33" fillId="0" borderId="31" xfId="0" applyFont="1" applyBorder="1" applyAlignment="1">
      <alignment wrapText="1"/>
    </xf>
    <xf numFmtId="0" fontId="33" fillId="0" borderId="13" xfId="0" applyFont="1" applyBorder="1" applyAlignment="1">
      <alignment wrapText="1"/>
    </xf>
    <xf numFmtId="0" fontId="45" fillId="36" borderId="71" xfId="0" applyFont="1" applyFill="1" applyBorder="1" applyAlignment="1">
      <alignment wrapText="1"/>
    </xf>
    <xf numFmtId="0" fontId="61" fillId="36" borderId="14" xfId="0" applyFont="1" applyFill="1" applyBorder="1" applyAlignment="1">
      <alignment horizontal="left"/>
    </xf>
    <xf numFmtId="0" fontId="33" fillId="0" borderId="13" xfId="0" applyFont="1" applyBorder="1">
      <alignment horizontal="left" wrapText="1"/>
    </xf>
    <xf numFmtId="0" fontId="21" fillId="0" borderId="0" xfId="0" applyFont="1" applyAlignment="1">
      <alignment horizontal="left" vertical="top" wrapText="1"/>
    </xf>
    <xf numFmtId="173" fontId="33" fillId="0" borderId="44" xfId="0" applyNumberFormat="1" applyFont="1" applyBorder="1">
      <alignment horizontal="left" wrapText="1"/>
    </xf>
    <xf numFmtId="173" fontId="33" fillId="0" borderId="9" xfId="0" applyNumberFormat="1" applyFont="1" applyBorder="1">
      <alignment horizontal="left" wrapText="1"/>
    </xf>
    <xf numFmtId="173" fontId="33" fillId="0" borderId="29" xfId="0" applyNumberFormat="1" applyFont="1" applyBorder="1">
      <alignment horizontal="left" wrapText="1"/>
    </xf>
    <xf numFmtId="173" fontId="33" fillId="0" borderId="9" xfId="0" applyNumberFormat="1" applyFont="1" applyBorder="1" applyAlignment="1">
      <alignment horizontal="center" wrapText="1"/>
    </xf>
    <xf numFmtId="173" fontId="33" fillId="0" borderId="9" xfId="0" applyNumberFormat="1" applyFont="1" applyBorder="1" applyAlignment="1">
      <alignment wrapText="1"/>
    </xf>
    <xf numFmtId="173" fontId="33" fillId="0" borderId="29" xfId="0" applyNumberFormat="1" applyFont="1" applyBorder="1" applyAlignment="1">
      <alignment wrapText="1"/>
    </xf>
    <xf numFmtId="172" fontId="0" fillId="0" borderId="0" xfId="0" applyNumberFormat="1">
      <alignment horizontal="left" wrapText="1"/>
    </xf>
    <xf numFmtId="0" fontId="0" fillId="0" borderId="0" xfId="0" applyAlignment="1">
      <alignment vertical="top" wrapText="1"/>
    </xf>
    <xf numFmtId="0" fontId="12" fillId="0" borderId="0" xfId="3" applyBorder="1">
      <alignment horizontal="left"/>
    </xf>
    <xf numFmtId="0" fontId="26" fillId="0" borderId="0" xfId="3" applyFont="1" applyBorder="1">
      <alignment horizontal="left"/>
    </xf>
    <xf numFmtId="0" fontId="9" fillId="0" borderId="0" xfId="5" applyAlignment="1">
      <alignment horizontal="left" wrapText="1"/>
    </xf>
    <xf numFmtId="0" fontId="62" fillId="0" borderId="0" xfId="5" applyFont="1" applyAlignment="1">
      <alignment horizontal="left" wrapText="1"/>
    </xf>
    <xf numFmtId="0" fontId="51" fillId="0" borderId="0" xfId="3" applyFont="1" applyBorder="1">
      <alignment horizontal="left"/>
    </xf>
    <xf numFmtId="0" fontId="30" fillId="0" borderId="0" xfId="3" applyFont="1" applyBorder="1">
      <alignment horizontal="left"/>
    </xf>
    <xf numFmtId="0" fontId="9" fillId="0" borderId="0" xfId="5" quotePrefix="1" applyAlignment="1">
      <alignment horizontal="left" wrapText="1"/>
    </xf>
    <xf numFmtId="0" fontId="62" fillId="0" borderId="0" xfId="0" applyFont="1">
      <alignment horizontal="left" wrapText="1"/>
    </xf>
    <xf numFmtId="0" fontId="0" fillId="0" borderId="0" xfId="0" applyAlignment="1">
      <alignment horizontal="left" vertical="top" wrapText="1"/>
    </xf>
    <xf numFmtId="0" fontId="2" fillId="0" borderId="0" xfId="0" applyFont="1" applyAlignment="1">
      <alignment horizontal="left" vertical="top" wrapText="1"/>
    </xf>
    <xf numFmtId="0" fontId="63" fillId="0" borderId="0" xfId="0" applyFont="1">
      <alignment horizontal="left" wrapText="1"/>
    </xf>
    <xf numFmtId="0" fontId="5" fillId="39" borderId="0" xfId="0" applyFont="1" applyFill="1">
      <alignment horizontal="left" wrapText="1"/>
    </xf>
    <xf numFmtId="0" fontId="5" fillId="40" borderId="0" xfId="0" applyFont="1" applyFill="1">
      <alignment horizontal="left" wrapText="1"/>
    </xf>
    <xf numFmtId="0" fontId="5" fillId="41" borderId="0" xfId="0" applyFont="1" applyFill="1">
      <alignment horizontal="left" wrapText="1"/>
    </xf>
    <xf numFmtId="0" fontId="5" fillId="42" borderId="0" xfId="0" applyFont="1" applyFill="1">
      <alignment horizontal="left" wrapText="1"/>
    </xf>
    <xf numFmtId="0" fontId="5" fillId="43" borderId="0" xfId="0" applyFont="1" applyFill="1">
      <alignment horizontal="left" wrapText="1"/>
    </xf>
    <xf numFmtId="0" fontId="5" fillId="45" borderId="0" xfId="0" applyFont="1" applyFill="1">
      <alignment horizontal="left" wrapText="1"/>
    </xf>
    <xf numFmtId="0" fontId="64" fillId="0" borderId="0" xfId="0" applyFont="1" applyAlignment="1">
      <alignment vertical="top" wrapText="1"/>
    </xf>
    <xf numFmtId="0" fontId="41" fillId="0" borderId="9" xfId="0" applyFont="1" applyBorder="1" applyAlignment="1">
      <alignment horizontal="center" vertical="center" wrapText="1"/>
    </xf>
    <xf numFmtId="0" fontId="64" fillId="0" borderId="0" xfId="0" applyFont="1" applyAlignment="1">
      <alignment vertical="top"/>
    </xf>
    <xf numFmtId="0" fontId="28" fillId="0" borderId="0" xfId="13" applyFont="1">
      <alignment horizontal="left" vertical="top" wrapText="1"/>
    </xf>
    <xf numFmtId="0" fontId="33" fillId="0" borderId="0" xfId="0" applyFont="1" applyAlignment="1">
      <alignment horizontal="left" wrapText="1" indent="3"/>
    </xf>
    <xf numFmtId="0" fontId="3" fillId="0" borderId="0" xfId="0" applyFont="1" applyAlignment="1">
      <alignment horizontal="left" wrapText="1" indent="3"/>
    </xf>
    <xf numFmtId="0" fontId="67" fillId="0" borderId="0" xfId="0" applyFont="1" applyAlignment="1">
      <alignment horizontal="right"/>
    </xf>
    <xf numFmtId="0" fontId="37" fillId="39" borderId="13" xfId="0" applyFont="1" applyFill="1" applyBorder="1" applyAlignment="1">
      <alignment vertical="center" wrapText="1"/>
    </xf>
    <xf numFmtId="0" fontId="37" fillId="39" borderId="19" xfId="0" applyFont="1" applyFill="1" applyBorder="1" applyAlignment="1">
      <alignment vertical="center" wrapText="1"/>
    </xf>
    <xf numFmtId="0" fontId="37" fillId="39" borderId="76" xfId="0" applyFont="1" applyFill="1" applyBorder="1" applyAlignment="1">
      <alignment vertical="center" wrapText="1"/>
    </xf>
    <xf numFmtId="0" fontId="0" fillId="0" borderId="78" xfId="0" applyBorder="1">
      <alignment horizontal="left" wrapText="1"/>
    </xf>
    <xf numFmtId="0" fontId="0" fillId="0" borderId="79" xfId="0" applyBorder="1">
      <alignment horizontal="left" wrapText="1"/>
    </xf>
    <xf numFmtId="0" fontId="0" fillId="0" borderId="80" xfId="0" applyBorder="1">
      <alignment horizontal="left" wrapText="1"/>
    </xf>
    <xf numFmtId="0" fontId="37" fillId="39" borderId="82" xfId="0" applyFont="1" applyFill="1" applyBorder="1" applyAlignment="1">
      <alignment vertical="center" wrapText="1"/>
    </xf>
    <xf numFmtId="0" fontId="42" fillId="0" borderId="21" xfId="0" applyFont="1" applyBorder="1" applyAlignment="1">
      <alignment horizontal="left" wrapText="1" indent="1"/>
    </xf>
    <xf numFmtId="0" fontId="49" fillId="0" borderId="21" xfId="0" applyFont="1" applyBorder="1" applyAlignment="1">
      <alignment horizontal="left" wrapText="1" indent="1"/>
    </xf>
    <xf numFmtId="0" fontId="49" fillId="0" borderId="24" xfId="0" applyFont="1" applyBorder="1" applyAlignment="1">
      <alignment horizontal="left" wrapText="1" indent="1"/>
    </xf>
    <xf numFmtId="0" fontId="70" fillId="0" borderId="0" xfId="0" applyFont="1">
      <alignment horizontal="left" wrapText="1"/>
    </xf>
    <xf numFmtId="0" fontId="0" fillId="0" borderId="84" xfId="0" applyBorder="1">
      <alignment horizontal="left" wrapText="1"/>
    </xf>
    <xf numFmtId="0" fontId="0" fillId="0" borderId="32" xfId="0" applyBorder="1">
      <alignment horizontal="left" wrapText="1"/>
    </xf>
    <xf numFmtId="0" fontId="0" fillId="0" borderId="86" xfId="0" applyBorder="1">
      <alignment horizontal="left" wrapText="1"/>
    </xf>
    <xf numFmtId="0" fontId="0" fillId="0" borderId="12" xfId="0" applyBorder="1">
      <alignment horizontal="left" wrapText="1"/>
    </xf>
    <xf numFmtId="0" fontId="66" fillId="0" borderId="83" xfId="0" applyFont="1" applyBorder="1" applyAlignment="1">
      <alignment horizontal="center" wrapText="1"/>
    </xf>
    <xf numFmtId="0" fontId="66" fillId="0" borderId="89" xfId="0" applyFont="1" applyBorder="1" applyAlignment="1">
      <alignment horizontal="center" wrapText="1"/>
    </xf>
    <xf numFmtId="0" fontId="37" fillId="39" borderId="90" xfId="0" applyFont="1" applyFill="1" applyBorder="1" applyAlignment="1">
      <alignment vertical="center" wrapText="1"/>
    </xf>
    <xf numFmtId="9" fontId="68" fillId="0" borderId="72" xfId="0" applyNumberFormat="1" applyFont="1" applyBorder="1" applyAlignment="1">
      <alignment horizontal="center"/>
    </xf>
    <xf numFmtId="9" fontId="68" fillId="0" borderId="91" xfId="0" applyNumberFormat="1" applyFont="1" applyBorder="1" applyAlignment="1">
      <alignment horizontal="center"/>
    </xf>
    <xf numFmtId="0" fontId="69" fillId="40" borderId="73" xfId="0" applyFont="1" applyFill="1" applyBorder="1" applyAlignment="1">
      <alignment horizontal="center" vertical="center" wrapText="1"/>
    </xf>
    <xf numFmtId="0" fontId="69" fillId="40" borderId="85" xfId="0" applyFont="1" applyFill="1" applyBorder="1" applyAlignment="1">
      <alignment horizontal="center" vertical="center" wrapText="1"/>
    </xf>
    <xf numFmtId="0" fontId="69" fillId="41" borderId="73" xfId="0" applyFont="1" applyFill="1" applyBorder="1" applyAlignment="1">
      <alignment horizontal="center" vertical="center" wrapText="1"/>
    </xf>
    <xf numFmtId="0" fontId="69" fillId="41" borderId="0" xfId="0" applyFont="1" applyFill="1" applyAlignment="1">
      <alignment horizontal="center" vertical="center" wrapText="1"/>
    </xf>
    <xf numFmtId="0" fontId="69" fillId="41" borderId="85" xfId="0" applyFont="1" applyFill="1" applyBorder="1" applyAlignment="1">
      <alignment horizontal="center" vertical="center" wrapText="1"/>
    </xf>
    <xf numFmtId="0" fontId="69" fillId="42" borderId="72" xfId="0" applyFont="1" applyFill="1" applyBorder="1" applyAlignment="1">
      <alignment horizontal="center" vertical="center" wrapText="1"/>
    </xf>
    <xf numFmtId="0" fontId="69" fillId="42" borderId="0" xfId="0" applyFont="1" applyFill="1" applyAlignment="1">
      <alignment horizontal="center" vertical="center" wrapText="1"/>
    </xf>
    <xf numFmtId="0" fontId="69" fillId="42" borderId="20" xfId="0" applyFont="1" applyFill="1" applyBorder="1" applyAlignment="1">
      <alignment horizontal="center" vertical="center" wrapText="1"/>
    </xf>
    <xf numFmtId="0" fontId="69" fillId="43" borderId="73" xfId="0" applyFont="1" applyFill="1" applyBorder="1" applyAlignment="1">
      <alignment horizontal="center" vertical="center" wrapText="1"/>
    </xf>
    <xf numFmtId="0" fontId="69" fillId="43" borderId="0" xfId="0" applyFont="1" applyFill="1" applyAlignment="1">
      <alignment horizontal="center" vertical="center" wrapText="1"/>
    </xf>
    <xf numFmtId="0" fontId="69" fillId="43" borderId="85" xfId="0" applyFont="1" applyFill="1" applyBorder="1" applyAlignment="1">
      <alignment horizontal="center" vertical="center" wrapText="1"/>
    </xf>
    <xf numFmtId="0" fontId="21" fillId="0" borderId="0" xfId="33" applyFont="1" applyFill="1" applyBorder="1" applyAlignment="1">
      <alignment vertical="center"/>
    </xf>
    <xf numFmtId="0" fontId="66" fillId="0" borderId="92" xfId="0" applyFont="1" applyBorder="1" applyAlignment="1">
      <alignment horizontal="center"/>
    </xf>
    <xf numFmtId="0" fontId="37" fillId="39" borderId="93" xfId="0" applyFont="1" applyFill="1" applyBorder="1" applyAlignment="1">
      <alignment vertical="center" wrapText="1"/>
    </xf>
    <xf numFmtId="1" fontId="69" fillId="40" borderId="76" xfId="0" applyNumberFormat="1" applyFont="1" applyFill="1" applyBorder="1" applyAlignment="1">
      <alignment horizontal="center" vertical="center" wrapText="1"/>
    </xf>
    <xf numFmtId="1" fontId="69" fillId="40" borderId="95" xfId="0" applyNumberFormat="1" applyFont="1" applyFill="1" applyBorder="1" applyAlignment="1">
      <alignment horizontal="center" vertical="center" wrapText="1"/>
    </xf>
    <xf numFmtId="1" fontId="69" fillId="41" borderId="73" xfId="0" applyNumberFormat="1" applyFont="1" applyFill="1" applyBorder="1" applyAlignment="1">
      <alignment horizontal="center" vertical="center" wrapText="1"/>
    </xf>
    <xf numFmtId="1" fontId="69" fillId="41" borderId="20" xfId="0" applyNumberFormat="1" applyFont="1" applyFill="1" applyBorder="1" applyAlignment="1">
      <alignment horizontal="center" vertical="center" wrapText="1"/>
    </xf>
    <xf numFmtId="1" fontId="69" fillId="42" borderId="20" xfId="0" applyNumberFormat="1" applyFont="1" applyFill="1" applyBorder="1" applyAlignment="1">
      <alignment horizontal="center" vertical="center" wrapText="1"/>
    </xf>
    <xf numFmtId="1" fontId="69" fillId="43" borderId="73" xfId="0" applyNumberFormat="1" applyFont="1" applyFill="1" applyBorder="1" applyAlignment="1">
      <alignment horizontal="center" vertical="center" wrapText="1"/>
    </xf>
    <xf numFmtId="1" fontId="69" fillId="43" borderId="20" xfId="0" applyNumberFormat="1" applyFont="1" applyFill="1" applyBorder="1" applyAlignment="1">
      <alignment horizontal="center" vertical="center" wrapText="1"/>
    </xf>
    <xf numFmtId="1" fontId="68" fillId="0" borderId="96" xfId="0" applyNumberFormat="1" applyFont="1" applyBorder="1" applyAlignment="1">
      <alignment horizontal="center"/>
    </xf>
    <xf numFmtId="171" fontId="68" fillId="0" borderId="91" xfId="0" applyNumberFormat="1" applyFont="1" applyBorder="1" applyAlignment="1">
      <alignment horizontal="center"/>
    </xf>
    <xf numFmtId="169" fontId="68" fillId="0" borderId="94" xfId="0" applyNumberFormat="1" applyFont="1" applyBorder="1" applyAlignment="1">
      <alignment horizontal="center"/>
    </xf>
    <xf numFmtId="169" fontId="68" fillId="0" borderId="96" xfId="0" applyNumberFormat="1" applyFont="1" applyBorder="1" applyAlignment="1">
      <alignment horizontal="center"/>
    </xf>
    <xf numFmtId="170" fontId="68" fillId="0" borderId="94" xfId="0" applyNumberFormat="1" applyFont="1" applyBorder="1" applyAlignment="1">
      <alignment horizontal="center"/>
    </xf>
    <xf numFmtId="1" fontId="69" fillId="41" borderId="0" xfId="0" applyNumberFormat="1" applyFont="1" applyFill="1" applyAlignment="1">
      <alignment horizontal="center" vertical="center" wrapText="1"/>
    </xf>
    <xf numFmtId="1" fontId="69" fillId="42" borderId="0" xfId="0" applyNumberFormat="1" applyFont="1" applyFill="1" applyAlignment="1">
      <alignment horizontal="center" vertical="center" wrapText="1"/>
    </xf>
    <xf numFmtId="1" fontId="69" fillId="43" borderId="0" xfId="0" applyNumberFormat="1" applyFont="1" applyFill="1" applyAlignment="1">
      <alignment horizontal="center" vertical="center" wrapText="1"/>
    </xf>
    <xf numFmtId="169" fontId="68" fillId="0" borderId="99" xfId="0" applyNumberFormat="1" applyFont="1" applyBorder="1" applyAlignment="1">
      <alignment horizontal="center"/>
    </xf>
    <xf numFmtId="1" fontId="68" fillId="0" borderId="99" xfId="0" applyNumberFormat="1" applyFont="1" applyBorder="1" applyAlignment="1">
      <alignment horizontal="center"/>
    </xf>
    <xf numFmtId="0" fontId="63" fillId="0" borderId="92" xfId="0" applyFont="1" applyBorder="1" applyAlignment="1"/>
    <xf numFmtId="0" fontId="63" fillId="0" borderId="72" xfId="0" applyFont="1" applyBorder="1" applyAlignment="1">
      <alignment horizontal="center"/>
    </xf>
    <xf numFmtId="0" fontId="63" fillId="0" borderId="78" xfId="0" applyFont="1" applyBorder="1" applyAlignment="1">
      <alignment horizontal="center"/>
    </xf>
    <xf numFmtId="1" fontId="0" fillId="0" borderId="0" xfId="0" applyNumberFormat="1">
      <alignment horizontal="left" wrapText="1"/>
    </xf>
    <xf numFmtId="0" fontId="63" fillId="0" borderId="92" xfId="0" applyFont="1" applyBorder="1" applyAlignment="1">
      <alignment horizontal="center"/>
    </xf>
    <xf numFmtId="0" fontId="66" fillId="0" borderId="94" xfId="0" applyFont="1" applyBorder="1" applyAlignment="1">
      <alignment horizontal="center"/>
    </xf>
    <xf numFmtId="0" fontId="66" fillId="0" borderId="91" xfId="0" applyFont="1" applyBorder="1" applyAlignment="1">
      <alignment horizontal="center"/>
    </xf>
    <xf numFmtId="0" fontId="66" fillId="0" borderId="100" xfId="0" applyFont="1" applyBorder="1" applyAlignment="1">
      <alignment horizontal="center"/>
    </xf>
    <xf numFmtId="0" fontId="63" fillId="0" borderId="75" xfId="0" applyFont="1" applyBorder="1" applyAlignment="1">
      <alignment horizontal="center"/>
    </xf>
    <xf numFmtId="0" fontId="37" fillId="39" borderId="101" xfId="0" applyFont="1" applyFill="1" applyBorder="1" applyAlignment="1">
      <alignment vertical="center" wrapText="1"/>
    </xf>
    <xf numFmtId="169" fontId="68" fillId="0" borderId="103" xfId="0" applyNumberFormat="1" applyFont="1" applyBorder="1" applyAlignment="1">
      <alignment horizontal="center"/>
    </xf>
    <xf numFmtId="0" fontId="66" fillId="0" borderId="104" xfId="0" applyFont="1" applyBorder="1" applyAlignment="1">
      <alignment horizontal="center"/>
    </xf>
    <xf numFmtId="0" fontId="66" fillId="0" borderId="106" xfId="0" applyFont="1" applyBorder="1" applyAlignment="1"/>
    <xf numFmtId="0" fontId="63" fillId="0" borderId="105" xfId="0" applyFont="1" applyBorder="1" applyAlignment="1">
      <alignment horizontal="center"/>
    </xf>
    <xf numFmtId="171" fontId="68" fillId="0" borderId="104" xfId="0" applyNumberFormat="1" applyFont="1" applyBorder="1" applyAlignment="1">
      <alignment horizontal="center"/>
    </xf>
    <xf numFmtId="0" fontId="71" fillId="0" borderId="94" xfId="0" applyFont="1" applyBorder="1" applyAlignment="1">
      <alignment horizontal="center"/>
    </xf>
    <xf numFmtId="171" fontId="66" fillId="0" borderId="72" xfId="0" applyNumberFormat="1" applyFont="1" applyBorder="1" applyAlignment="1">
      <alignment horizontal="center"/>
    </xf>
    <xf numFmtId="171" fontId="66" fillId="0" borderId="78" xfId="0" applyNumberFormat="1" applyFont="1" applyBorder="1" applyAlignment="1">
      <alignment horizontal="center"/>
    </xf>
    <xf numFmtId="171" fontId="66" fillId="0" borderId="73" xfId="0" applyNumberFormat="1" applyFont="1" applyBorder="1" applyAlignment="1">
      <alignment horizontal="center"/>
    </xf>
    <xf numFmtId="171" fontId="66" fillId="0" borderId="79" xfId="0" applyNumberFormat="1" applyFont="1" applyBorder="1" applyAlignment="1">
      <alignment horizontal="center"/>
    </xf>
    <xf numFmtId="1" fontId="69" fillId="42" borderId="82" xfId="0" applyNumberFormat="1" applyFont="1" applyFill="1" applyBorder="1" applyAlignment="1">
      <alignment horizontal="center" vertical="center" wrapText="1"/>
    </xf>
    <xf numFmtId="1" fontId="69" fillId="41" borderId="82" xfId="0" applyNumberFormat="1" applyFont="1" applyFill="1" applyBorder="1" applyAlignment="1">
      <alignment horizontal="center" vertical="center" wrapText="1"/>
    </xf>
    <xf numFmtId="1" fontId="69" fillId="40" borderId="82" xfId="0" applyNumberFormat="1" applyFont="1" applyFill="1" applyBorder="1" applyAlignment="1">
      <alignment horizontal="center" vertical="center" wrapText="1"/>
    </xf>
    <xf numFmtId="171" fontId="68" fillId="0" borderId="85" xfId="0" applyNumberFormat="1" applyFont="1" applyBorder="1" applyAlignment="1">
      <alignment horizontal="center"/>
    </xf>
    <xf numFmtId="0" fontId="63" fillId="0" borderId="108" xfId="0" applyFont="1" applyBorder="1" applyAlignment="1">
      <alignment horizontal="center"/>
    </xf>
    <xf numFmtId="0" fontId="63" fillId="0" borderId="109" xfId="0" applyFont="1" applyBorder="1" applyAlignment="1">
      <alignment horizontal="center"/>
    </xf>
    <xf numFmtId="1" fontId="69" fillId="43" borderId="76" xfId="0" applyNumberFormat="1" applyFont="1" applyFill="1" applyBorder="1" applyAlignment="1">
      <alignment horizontal="center" vertical="center" wrapText="1"/>
    </xf>
    <xf numFmtId="1" fontId="71" fillId="0" borderId="99" xfId="0" applyNumberFormat="1" applyFont="1" applyBorder="1" applyAlignment="1">
      <alignment horizontal="center"/>
    </xf>
    <xf numFmtId="0" fontId="2" fillId="0" borderId="0" xfId="0" applyFont="1">
      <alignment horizontal="left" wrapText="1"/>
    </xf>
    <xf numFmtId="0" fontId="9" fillId="0" borderId="0" xfId="5" quotePrefix="1" applyFill="1" applyAlignment="1">
      <alignment horizontal="left" wrapText="1"/>
    </xf>
    <xf numFmtId="0" fontId="65" fillId="0" borderId="0" xfId="0" applyFont="1">
      <alignment horizontal="left" wrapText="1"/>
    </xf>
    <xf numFmtId="0" fontId="74" fillId="36" borderId="11" xfId="0" applyFont="1" applyFill="1" applyBorder="1">
      <alignment horizontal="left" wrapText="1"/>
    </xf>
    <xf numFmtId="0" fontId="74" fillId="36" borderId="0" xfId="0" applyFont="1" applyFill="1">
      <alignment horizontal="left" wrapText="1"/>
    </xf>
    <xf numFmtId="0" fontId="74" fillId="49" borderId="0" xfId="0" applyFont="1" applyFill="1">
      <alignment horizontal="left" wrapText="1"/>
    </xf>
    <xf numFmtId="0" fontId="74" fillId="0" borderId="11" xfId="0" applyFont="1" applyBorder="1">
      <alignment horizontal="left" wrapText="1"/>
    </xf>
    <xf numFmtId="0" fontId="74" fillId="0" borderId="9" xfId="0" applyFont="1" applyBorder="1">
      <alignment horizontal="left" wrapText="1"/>
    </xf>
    <xf numFmtId="0" fontId="74" fillId="0" borderId="32" xfId="0" applyFont="1" applyBorder="1">
      <alignment horizontal="left" wrapText="1"/>
    </xf>
    <xf numFmtId="0" fontId="74" fillId="0" borderId="0" xfId="0" applyFont="1">
      <alignment horizontal="left" wrapText="1"/>
    </xf>
    <xf numFmtId="0" fontId="74" fillId="38" borderId="11" xfId="0" applyFont="1" applyFill="1" applyBorder="1">
      <alignment horizontal="left" wrapText="1"/>
    </xf>
    <xf numFmtId="170" fontId="68" fillId="38" borderId="103" xfId="0" applyNumberFormat="1" applyFont="1" applyFill="1" applyBorder="1" applyAlignment="1">
      <alignment horizontal="center"/>
    </xf>
    <xf numFmtId="171" fontId="68" fillId="38" borderId="72" xfId="0" applyNumberFormat="1" applyFont="1" applyFill="1" applyBorder="1" applyAlignment="1">
      <alignment horizontal="center"/>
    </xf>
    <xf numFmtId="0" fontId="71" fillId="38" borderId="72" xfId="0" applyFont="1" applyFill="1" applyBorder="1" applyAlignment="1">
      <alignment horizontal="center"/>
    </xf>
    <xf numFmtId="171" fontId="68" fillId="38" borderId="104" xfId="0" applyNumberFormat="1" applyFont="1" applyFill="1" applyBorder="1" applyAlignment="1">
      <alignment horizontal="center"/>
    </xf>
    <xf numFmtId="171" fontId="68" fillId="38" borderId="73" xfId="0" applyNumberFormat="1" applyFont="1" applyFill="1" applyBorder="1" applyAlignment="1">
      <alignment horizontal="center"/>
    </xf>
    <xf numFmtId="0" fontId="71" fillId="38" borderId="108" xfId="0" applyFont="1" applyFill="1" applyBorder="1" applyAlignment="1">
      <alignment horizontal="center"/>
    </xf>
    <xf numFmtId="174" fontId="68" fillId="0" borderId="96" xfId="0" applyNumberFormat="1" applyFont="1" applyBorder="1" applyAlignment="1">
      <alignment horizontal="center"/>
    </xf>
    <xf numFmtId="0" fontId="34" fillId="0" borderId="1" xfId="17" applyFont="1" applyAlignment="1" applyProtection="1">
      <alignment horizontal="left" wrapText="1"/>
      <protection locked="0"/>
    </xf>
    <xf numFmtId="167" fontId="34" fillId="0" borderId="1" xfId="17" applyNumberFormat="1" applyFont="1" applyAlignment="1" applyProtection="1">
      <alignment horizontal="left" wrapText="1"/>
      <protection locked="0"/>
    </xf>
    <xf numFmtId="0" fontId="0" fillId="0" borderId="0" xfId="17" applyFont="1" applyBorder="1" applyAlignment="1" applyProtection="1">
      <alignment horizontal="left" wrapText="1"/>
      <protection locked="0"/>
    </xf>
    <xf numFmtId="0" fontId="0" fillId="0" borderId="9" xfId="0" applyBorder="1" applyProtection="1">
      <alignment horizontal="left" wrapText="1"/>
      <protection locked="0"/>
    </xf>
    <xf numFmtId="0" fontId="0" fillId="0" borderId="45" xfId="0" applyBorder="1" applyProtection="1">
      <alignment horizontal="left" wrapText="1"/>
      <protection locked="0"/>
    </xf>
    <xf numFmtId="0" fontId="0" fillId="0" borderId="11" xfId="0" applyBorder="1" applyProtection="1">
      <alignment horizontal="left" wrapText="1"/>
      <protection locked="0"/>
    </xf>
    <xf numFmtId="0" fontId="0" fillId="0" borderId="51" xfId="0" applyBorder="1" applyProtection="1">
      <alignment horizontal="left" wrapText="1"/>
      <protection locked="0"/>
    </xf>
    <xf numFmtId="0" fontId="0" fillId="0" borderId="14" xfId="0" applyBorder="1" applyAlignment="1" applyProtection="1">
      <alignment wrapText="1"/>
      <protection locked="0"/>
    </xf>
    <xf numFmtId="0" fontId="0" fillId="0" borderId="23" xfId="0" applyBorder="1" applyProtection="1">
      <alignment horizontal="left" wrapText="1"/>
      <protection locked="0"/>
    </xf>
    <xf numFmtId="0" fontId="0" fillId="0" borderId="68" xfId="0" applyBorder="1" applyProtection="1">
      <alignment horizontal="left" wrapText="1"/>
      <protection locked="0"/>
    </xf>
    <xf numFmtId="0" fontId="0" fillId="0" borderId="14" xfId="0" applyBorder="1" applyProtection="1">
      <alignment horizontal="left" wrapText="1"/>
      <protection locked="0"/>
    </xf>
    <xf numFmtId="0" fontId="0" fillId="0" borderId="61" xfId="0" applyBorder="1" applyProtection="1">
      <alignment horizontal="left" wrapText="1"/>
      <protection locked="0"/>
    </xf>
    <xf numFmtId="0" fontId="0" fillId="0" borderId="23" xfId="0" applyBorder="1" applyAlignment="1" applyProtection="1">
      <alignment wrapText="1"/>
      <protection locked="0"/>
    </xf>
    <xf numFmtId="0" fontId="0" fillId="0" borderId="9" xfId="0" applyBorder="1" applyAlignment="1" applyProtection="1">
      <alignment wrapText="1"/>
      <protection locked="0"/>
    </xf>
    <xf numFmtId="0" fontId="0" fillId="0" borderId="61" xfId="0" applyBorder="1" applyAlignment="1" applyProtection="1">
      <alignment wrapText="1"/>
      <protection locked="0"/>
    </xf>
    <xf numFmtId="0" fontId="39" fillId="0" borderId="22" xfId="0" applyFont="1" applyBorder="1" applyAlignment="1">
      <alignment horizontal="left" wrapText="1" indent="1"/>
    </xf>
    <xf numFmtId="0" fontId="39" fillId="0" borderId="0" xfId="0" applyFont="1" applyAlignment="1">
      <alignment horizontal="left" wrapText="1" indent="1"/>
    </xf>
    <xf numFmtId="0" fontId="34" fillId="0" borderId="0" xfId="17" applyFont="1" applyBorder="1" applyAlignment="1" applyProtection="1">
      <alignment horizontal="left" wrapText="1"/>
      <protection locked="0"/>
    </xf>
    <xf numFmtId="0" fontId="34" fillId="0" borderId="1" xfId="0" applyFont="1" applyBorder="1" applyProtection="1">
      <alignment horizontal="left" wrapText="1"/>
      <protection locked="0"/>
    </xf>
    <xf numFmtId="0" fontId="67" fillId="0" borderId="77" xfId="0" applyFont="1" applyBorder="1" applyAlignment="1">
      <alignment horizontal="center"/>
    </xf>
    <xf numFmtId="0" fontId="67" fillId="0" borderId="81" xfId="0" applyFont="1" applyBorder="1" applyAlignment="1">
      <alignment horizontal="center"/>
    </xf>
    <xf numFmtId="0" fontId="67" fillId="0" borderId="75" xfId="0" applyFont="1" applyBorder="1" applyAlignment="1">
      <alignment horizontal="center"/>
    </xf>
    <xf numFmtId="0" fontId="21" fillId="0" borderId="0" xfId="0" applyFont="1">
      <alignment horizontal="left" wrapText="1"/>
    </xf>
    <xf numFmtId="0" fontId="35" fillId="36" borderId="13" xfId="0" applyFont="1" applyFill="1" applyBorder="1">
      <alignment horizontal="left" wrapText="1"/>
    </xf>
    <xf numFmtId="0" fontId="35" fillId="36" borderId="19" xfId="0" applyFont="1" applyFill="1" applyBorder="1">
      <alignment horizontal="left" wrapText="1"/>
    </xf>
    <xf numFmtId="0" fontId="21" fillId="36" borderId="14" xfId="0" applyFont="1" applyFill="1" applyBorder="1">
      <alignment horizontal="left" wrapText="1"/>
    </xf>
    <xf numFmtId="0" fontId="21" fillId="36" borderId="32" xfId="0" applyFont="1" applyFill="1" applyBorder="1">
      <alignment horizontal="left" wrapText="1"/>
    </xf>
    <xf numFmtId="0" fontId="21" fillId="0" borderId="23" xfId="0" applyFont="1" applyBorder="1">
      <alignment horizontal="left" wrapText="1"/>
    </xf>
    <xf numFmtId="0" fontId="21" fillId="0" borderId="31" xfId="0" applyFont="1" applyBorder="1">
      <alignment horizontal="left" wrapText="1"/>
    </xf>
    <xf numFmtId="0" fontId="66" fillId="0" borderId="87" xfId="0" applyFont="1" applyBorder="1" applyAlignment="1">
      <alignment horizontal="center"/>
    </xf>
    <xf numFmtId="0" fontId="66" fillId="0" borderId="88" xfId="0" applyFont="1" applyBorder="1" applyAlignment="1">
      <alignment horizontal="center"/>
    </xf>
    <xf numFmtId="0" fontId="66" fillId="0" borderId="106" xfId="0" applyFont="1" applyBorder="1" applyAlignment="1">
      <alignment horizontal="center"/>
    </xf>
    <xf numFmtId="0" fontId="35" fillId="0" borderId="0" xfId="33" applyFont="1" applyFill="1" applyBorder="1" applyAlignment="1">
      <alignment vertical="center"/>
    </xf>
    <xf numFmtId="0" fontId="41" fillId="0" borderId="0" xfId="33" applyFont="1" applyFill="1" applyBorder="1" applyAlignment="1">
      <alignment vertical="center"/>
    </xf>
    <xf numFmtId="0" fontId="28" fillId="0" borderId="0" xfId="13" applyFont="1">
      <alignment horizontal="left" vertical="top" wrapText="1"/>
    </xf>
    <xf numFmtId="0" fontId="30" fillId="0" borderId="0" xfId="2" applyFont="1"/>
    <xf numFmtId="0" fontId="44" fillId="0" borderId="0" xfId="2" applyFont="1"/>
    <xf numFmtId="0" fontId="30" fillId="0" borderId="0" xfId="2" applyFont="1" applyBorder="1" applyAlignment="1">
      <alignment horizontal="left" indent="2"/>
    </xf>
    <xf numFmtId="0" fontId="32" fillId="0" borderId="0" xfId="33" applyFont="1" applyFill="1" applyBorder="1" applyAlignment="1">
      <alignment vertical="center"/>
    </xf>
    <xf numFmtId="0" fontId="52" fillId="0" borderId="0" xfId="33" applyFont="1" applyFill="1" applyBorder="1" applyAlignment="1">
      <alignment vertical="center"/>
    </xf>
    <xf numFmtId="0" fontId="29" fillId="0" borderId="0" xfId="13" applyFont="1">
      <alignment horizontal="left" vertical="top" wrapText="1"/>
    </xf>
    <xf numFmtId="0" fontId="36" fillId="0" borderId="13" xfId="0" applyFont="1" applyBorder="1">
      <alignment horizontal="left" wrapText="1"/>
    </xf>
    <xf numFmtId="0" fontId="36" fillId="0" borderId="19" xfId="0" applyFont="1" applyBorder="1">
      <alignment horizontal="left" wrapText="1"/>
    </xf>
    <xf numFmtId="0" fontId="36" fillId="0" borderId="22" xfId="0" applyFont="1" applyBorder="1">
      <alignment horizontal="left" wrapText="1"/>
    </xf>
    <xf numFmtId="0" fontId="36" fillId="0" borderId="0" xfId="0" applyFont="1">
      <alignment horizontal="left" wrapText="1"/>
    </xf>
    <xf numFmtId="0" fontId="36" fillId="0" borderId="14" xfId="0" applyFont="1" applyBorder="1">
      <alignment horizontal="left" wrapText="1"/>
    </xf>
    <xf numFmtId="0" fontId="36" fillId="0" borderId="32" xfId="0" applyFont="1" applyBorder="1">
      <alignment horizontal="left" wrapText="1"/>
    </xf>
    <xf numFmtId="0" fontId="36" fillId="0" borderId="23" xfId="0" applyFont="1" applyBorder="1">
      <alignment horizontal="left" wrapText="1"/>
    </xf>
    <xf numFmtId="0" fontId="36" fillId="0" borderId="31" xfId="0" applyFont="1" applyBorder="1">
      <alignment horizontal="left" wrapText="1"/>
    </xf>
    <xf numFmtId="0" fontId="37" fillId="40" borderId="22" xfId="0" applyFont="1" applyFill="1" applyBorder="1" applyAlignment="1">
      <alignment horizontal="left" vertical="center" wrapText="1"/>
    </xf>
    <xf numFmtId="0" fontId="37" fillId="40" borderId="0" xfId="0" applyFont="1" applyFill="1" applyAlignment="1">
      <alignment horizontal="left" vertical="center" wrapText="1"/>
    </xf>
    <xf numFmtId="0" fontId="37" fillId="41" borderId="22" xfId="0" applyFont="1" applyFill="1" applyBorder="1" applyAlignment="1">
      <alignment horizontal="left" vertical="center" wrapText="1"/>
    </xf>
    <xf numFmtId="0" fontId="37" fillId="41" borderId="0" xfId="0" applyFont="1" applyFill="1" applyAlignment="1">
      <alignment horizontal="left" vertical="center" wrapText="1"/>
    </xf>
    <xf numFmtId="0" fontId="37" fillId="42" borderId="22" xfId="0" applyFont="1" applyFill="1" applyBorder="1" applyAlignment="1">
      <alignment horizontal="left" vertical="center" wrapText="1"/>
    </xf>
    <xf numFmtId="0" fontId="37" fillId="42" borderId="0" xfId="0" applyFont="1" applyFill="1" applyAlignment="1">
      <alignment horizontal="left" vertical="center" wrapText="1"/>
    </xf>
    <xf numFmtId="0" fontId="37" fillId="42" borderId="74" xfId="0" applyFont="1" applyFill="1" applyBorder="1" applyAlignment="1">
      <alignment horizontal="left" vertical="center" wrapText="1"/>
    </xf>
    <xf numFmtId="0" fontId="37" fillId="43" borderId="22" xfId="0" applyFont="1" applyFill="1" applyBorder="1" applyAlignment="1">
      <alignment horizontal="left" vertical="center" wrapText="1"/>
    </xf>
    <xf numFmtId="0" fontId="37" fillId="43" borderId="0" xfId="0" applyFont="1" applyFill="1" applyAlignment="1">
      <alignment horizontal="left" vertical="center" wrapText="1"/>
    </xf>
    <xf numFmtId="0" fontId="0" fillId="38" borderId="23" xfId="0" applyFill="1" applyBorder="1" applyAlignment="1" applyProtection="1">
      <alignment horizontal="left" vertical="top" wrapText="1"/>
      <protection locked="0"/>
    </xf>
    <xf numFmtId="0" fontId="0" fillId="38" borderId="31" xfId="0"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46" fillId="0" borderId="0" xfId="0" applyFont="1">
      <alignment horizontal="left" wrapText="1"/>
    </xf>
    <xf numFmtId="0" fontId="0" fillId="36" borderId="23" xfId="0" applyFill="1" applyBorder="1" applyAlignment="1" applyProtection="1">
      <alignment horizontal="left" vertical="top" wrapText="1"/>
      <protection locked="0"/>
    </xf>
    <xf numFmtId="0" fontId="0" fillId="36" borderId="24" xfId="0" applyFill="1" applyBorder="1" applyAlignment="1" applyProtection="1">
      <alignment horizontal="left" vertical="top" wrapText="1"/>
      <protection locked="0"/>
    </xf>
    <xf numFmtId="0" fontId="46" fillId="0" borderId="57" xfId="0" applyFont="1" applyBorder="1">
      <alignment horizontal="left" wrapText="1"/>
    </xf>
    <xf numFmtId="0" fontId="0" fillId="38" borderId="0" xfId="0" applyFill="1" applyAlignment="1">
      <alignment horizontal="left" vertical="top" wrapText="1"/>
    </xf>
    <xf numFmtId="0" fontId="30" fillId="37" borderId="45" xfId="0" applyFont="1" applyFill="1" applyBorder="1">
      <alignment horizontal="left" wrapText="1"/>
    </xf>
    <xf numFmtId="0" fontId="30" fillId="37" borderId="9" xfId="0" applyFont="1" applyFill="1" applyBorder="1">
      <alignment horizontal="left" wrapText="1"/>
    </xf>
    <xf numFmtId="0" fontId="46" fillId="0" borderId="0" xfId="0" applyFont="1" applyAlignment="1">
      <alignment wrapText="1"/>
    </xf>
    <xf numFmtId="0" fontId="51" fillId="0" borderId="0" xfId="0" applyFont="1">
      <alignment horizontal="left" wrapText="1"/>
    </xf>
    <xf numFmtId="0" fontId="30" fillId="37" borderId="23" xfId="0" applyFont="1" applyFill="1" applyBorder="1">
      <alignment horizontal="left" wrapText="1"/>
    </xf>
    <xf numFmtId="0" fontId="28" fillId="36" borderId="13" xfId="0" applyFont="1" applyFill="1" applyBorder="1">
      <alignment horizontal="left" wrapText="1"/>
    </xf>
    <xf numFmtId="0" fontId="28" fillId="36" borderId="19" xfId="0" applyFont="1" applyFill="1" applyBorder="1">
      <alignment horizontal="left" wrapText="1"/>
    </xf>
    <xf numFmtId="0" fontId="32" fillId="0" borderId="0" xfId="0" applyFont="1" applyAlignment="1">
      <alignment horizontal="center" wrapText="1"/>
    </xf>
    <xf numFmtId="0" fontId="33" fillId="0" borderId="0" xfId="0" applyFont="1">
      <alignment horizontal="left" wrapText="1"/>
    </xf>
    <xf numFmtId="0" fontId="35" fillId="0" borderId="0" xfId="0" applyFont="1">
      <alignment horizontal="left" wrapText="1"/>
    </xf>
    <xf numFmtId="0" fontId="32" fillId="0" borderId="0" xfId="0" applyFont="1">
      <alignment horizontal="left" wrapText="1"/>
    </xf>
    <xf numFmtId="0" fontId="46" fillId="0" borderId="32" xfId="0" applyFont="1" applyBorder="1">
      <alignment horizontal="left" wrapText="1"/>
    </xf>
    <xf numFmtId="0" fontId="0" fillId="38" borderId="23" xfId="0" applyFill="1" applyBorder="1" applyAlignment="1">
      <alignment horizontal="left" vertical="top" wrapText="1"/>
    </xf>
    <xf numFmtId="0" fontId="0" fillId="38" borderId="31" xfId="0" applyFill="1" applyBorder="1" applyAlignment="1">
      <alignment horizontal="left" vertical="top" wrapText="1"/>
    </xf>
    <xf numFmtId="0" fontId="0" fillId="38" borderId="24" xfId="0" applyFill="1" applyBorder="1" applyAlignment="1">
      <alignment horizontal="left" vertical="top" wrapText="1"/>
    </xf>
    <xf numFmtId="0" fontId="32" fillId="0" borderId="0" xfId="33" applyFont="1" applyFill="1" applyBorder="1" applyAlignment="1">
      <alignment horizontal="left" vertical="center"/>
    </xf>
    <xf numFmtId="0" fontId="0" fillId="36" borderId="23" xfId="0" applyFill="1" applyBorder="1" applyAlignment="1" applyProtection="1">
      <alignment vertical="top" wrapText="1"/>
      <protection locked="0"/>
    </xf>
    <xf numFmtId="0" fontId="0" fillId="36" borderId="24" xfId="0" applyFill="1" applyBorder="1" applyAlignment="1" applyProtection="1">
      <alignment vertical="top" wrapText="1"/>
      <protection locked="0"/>
    </xf>
    <xf numFmtId="0" fontId="33" fillId="0" borderId="33" xfId="0" applyFont="1" applyBorder="1">
      <alignment horizontal="left" wrapText="1"/>
    </xf>
    <xf numFmtId="0" fontId="30" fillId="37" borderId="13" xfId="0" applyFont="1" applyFill="1" applyBorder="1">
      <alignment horizontal="left" wrapText="1"/>
    </xf>
    <xf numFmtId="0" fontId="30" fillId="37" borderId="19" xfId="0" applyFont="1" applyFill="1" applyBorder="1">
      <alignment horizontal="left" wrapText="1"/>
    </xf>
    <xf numFmtId="0" fontId="30" fillId="37" borderId="21" xfId="0" applyFont="1" applyFill="1" applyBorder="1">
      <alignment horizontal="left" wrapText="1"/>
    </xf>
    <xf numFmtId="0" fontId="30" fillId="37" borderId="64" xfId="0" applyFont="1" applyFill="1" applyBorder="1">
      <alignment horizontal="left" wrapText="1"/>
    </xf>
    <xf numFmtId="0" fontId="30" fillId="37" borderId="63" xfId="0" applyFont="1" applyFill="1" applyBorder="1">
      <alignment horizontal="left" wrapText="1"/>
    </xf>
    <xf numFmtId="0" fontId="30" fillId="37" borderId="36" xfId="0" applyFont="1" applyFill="1" applyBorder="1">
      <alignment horizontal="left" wrapText="1"/>
    </xf>
    <xf numFmtId="0" fontId="31" fillId="36" borderId="13" xfId="0" applyFont="1" applyFill="1" applyBorder="1">
      <alignment horizontal="left" wrapText="1"/>
    </xf>
    <xf numFmtId="0" fontId="31" fillId="36" borderId="19" xfId="0" applyFont="1" applyFill="1" applyBorder="1">
      <alignment horizontal="left" wrapText="1"/>
    </xf>
    <xf numFmtId="0" fontId="21" fillId="0" borderId="0" xfId="0" applyFont="1" applyAlignment="1">
      <alignment horizontal="left" vertical="top" wrapText="1"/>
    </xf>
    <xf numFmtId="0" fontId="30" fillId="37" borderId="10" xfId="0" applyFont="1" applyFill="1" applyBorder="1">
      <alignment horizontal="left" wrapText="1"/>
    </xf>
    <xf numFmtId="0" fontId="30" fillId="37" borderId="69" xfId="0" applyFont="1" applyFill="1" applyBorder="1">
      <alignment horizontal="left" wrapText="1"/>
    </xf>
    <xf numFmtId="0" fontId="30" fillId="37" borderId="70" xfId="0" applyFont="1" applyFill="1" applyBorder="1">
      <alignment horizontal="left" wrapText="1"/>
    </xf>
    <xf numFmtId="0" fontId="30" fillId="37" borderId="54" xfId="0" applyFont="1" applyFill="1" applyBorder="1">
      <alignment horizontal="left" wrapText="1"/>
    </xf>
    <xf numFmtId="0" fontId="30" fillId="37" borderId="31" xfId="0" applyFont="1" applyFill="1" applyBorder="1">
      <alignment horizontal="left" wrapText="1"/>
    </xf>
    <xf numFmtId="0" fontId="30" fillId="37" borderId="61" xfId="0" applyFont="1" applyFill="1" applyBorder="1">
      <alignment horizontal="left" wrapText="1"/>
    </xf>
    <xf numFmtId="0" fontId="30" fillId="37" borderId="24" xfId="0" applyFont="1" applyFill="1" applyBorder="1">
      <alignment horizontal="left" wrapText="1"/>
    </xf>
    <xf numFmtId="0" fontId="21" fillId="0" borderId="0" xfId="0" applyFont="1" applyAlignment="1">
      <alignment wrapText="1"/>
    </xf>
    <xf numFmtId="0" fontId="28" fillId="36" borderId="22" xfId="0" applyFont="1" applyFill="1" applyBorder="1" applyAlignment="1">
      <alignment horizontal="right" wrapText="1"/>
    </xf>
    <xf numFmtId="0" fontId="28" fillId="36" borderId="0" xfId="0" applyFont="1" applyFill="1" applyAlignment="1">
      <alignment horizontal="right" wrapText="1"/>
    </xf>
    <xf numFmtId="0" fontId="33" fillId="0" borderId="26" xfId="0" applyFont="1" applyBorder="1">
      <alignment horizontal="left" wrapText="1"/>
    </xf>
    <xf numFmtId="0" fontId="30" fillId="37" borderId="66" xfId="0" applyFont="1" applyFill="1" applyBorder="1">
      <alignment horizontal="left" wrapText="1"/>
    </xf>
    <xf numFmtId="0" fontId="30" fillId="37" borderId="55" xfId="0" applyFont="1" applyFill="1" applyBorder="1">
      <alignment horizontal="left" wrapText="1"/>
    </xf>
    <xf numFmtId="0" fontId="30" fillId="37" borderId="60" xfId="0" applyFont="1" applyFill="1" applyBorder="1">
      <alignment horizontal="left" wrapText="1"/>
    </xf>
    <xf numFmtId="0" fontId="30" fillId="37" borderId="67" xfId="0" applyFont="1" applyFill="1" applyBorder="1">
      <alignment horizontal="left" wrapText="1"/>
    </xf>
    <xf numFmtId="0" fontId="30" fillId="37" borderId="47" xfId="0" applyFont="1" applyFill="1" applyBorder="1">
      <alignment horizontal="left" wrapText="1"/>
    </xf>
    <xf numFmtId="0" fontId="30" fillId="37" borderId="48" xfId="0" applyFont="1" applyFill="1" applyBorder="1">
      <alignment horizontal="left" wrapText="1"/>
    </xf>
    <xf numFmtId="0" fontId="30" fillId="37" borderId="49" xfId="0" applyFont="1" applyFill="1" applyBorder="1">
      <alignment horizontal="left" wrapText="1"/>
    </xf>
    <xf numFmtId="0" fontId="30" fillId="37" borderId="50" xfId="0" applyFont="1" applyFill="1" applyBorder="1">
      <alignment horizontal="left" wrapText="1"/>
    </xf>
    <xf numFmtId="0" fontId="30" fillId="37" borderId="62" xfId="0" applyFont="1" applyFill="1" applyBorder="1">
      <alignment horizontal="left" wrapText="1"/>
    </xf>
    <xf numFmtId="0" fontId="30" fillId="37" borderId="39" xfId="0" applyFont="1" applyFill="1" applyBorder="1">
      <alignment horizontal="left" wrapText="1"/>
    </xf>
    <xf numFmtId="0" fontId="30" fillId="37" borderId="52" xfId="0" applyFont="1" applyFill="1" applyBorder="1">
      <alignment horizontal="left" wrapText="1"/>
    </xf>
    <xf numFmtId="0" fontId="28" fillId="36" borderId="13" xfId="0" applyFont="1" applyFill="1" applyBorder="1" applyAlignment="1">
      <alignment wrapText="1"/>
    </xf>
    <xf numFmtId="0" fontId="28" fillId="36" borderId="19" xfId="0" applyFont="1" applyFill="1" applyBorder="1" applyAlignment="1">
      <alignment wrapText="1"/>
    </xf>
    <xf numFmtId="0" fontId="21" fillId="0" borderId="0" xfId="33" applyFont="1" applyFill="1" applyBorder="1" applyAlignment="1">
      <alignment vertical="center"/>
    </xf>
    <xf numFmtId="0" fontId="39" fillId="0" borderId="97" xfId="0" applyFont="1" applyBorder="1" applyAlignment="1">
      <alignment horizontal="right" wrapText="1" indent="1"/>
    </xf>
    <xf numFmtId="0" fontId="39" fillId="0" borderId="98" xfId="0" applyFont="1" applyBorder="1" applyAlignment="1">
      <alignment horizontal="right" wrapText="1" indent="1"/>
    </xf>
    <xf numFmtId="0" fontId="39" fillId="0" borderId="14" xfId="0" applyFont="1" applyBorder="1" applyAlignment="1">
      <alignment horizontal="right" wrapText="1" indent="1"/>
    </xf>
    <xf numFmtId="0" fontId="39" fillId="0" borderId="32" xfId="0" applyFont="1" applyBorder="1" applyAlignment="1">
      <alignment horizontal="right" wrapText="1" indent="1"/>
    </xf>
    <xf numFmtId="0" fontId="37" fillId="39" borderId="13" xfId="0" applyFont="1" applyFill="1" applyBorder="1" applyAlignment="1">
      <alignment horizontal="left" vertical="center" wrapText="1"/>
    </xf>
    <xf numFmtId="0" fontId="37" fillId="39" borderId="19" xfId="0" applyFont="1" applyFill="1" applyBorder="1" applyAlignment="1">
      <alignment horizontal="left" vertical="center" wrapText="1"/>
    </xf>
    <xf numFmtId="0" fontId="39" fillId="0" borderId="22" xfId="0" applyFont="1" applyBorder="1" applyAlignment="1">
      <alignment horizontal="right" wrapText="1" indent="1"/>
    </xf>
    <xf numFmtId="0" fontId="39" fillId="0" borderId="0" xfId="0" applyFont="1" applyAlignment="1">
      <alignment horizontal="right" wrapText="1" indent="1"/>
    </xf>
    <xf numFmtId="0" fontId="67" fillId="0" borderId="0" xfId="0" applyFont="1" applyAlignment="1">
      <alignment horizontal="center"/>
    </xf>
    <xf numFmtId="0" fontId="66" fillId="0" borderId="73" xfId="0" applyFont="1" applyBorder="1" applyAlignment="1">
      <alignment horizontal="center"/>
    </xf>
    <xf numFmtId="0" fontId="66" fillId="0" borderId="102" xfId="0" applyFont="1" applyBorder="1" applyAlignment="1">
      <alignment horizontal="center"/>
    </xf>
    <xf numFmtId="0" fontId="66" fillId="0" borderId="72" xfId="0" applyFont="1" applyBorder="1" applyAlignment="1">
      <alignment horizontal="center"/>
    </xf>
    <xf numFmtId="0" fontId="66" fillId="0" borderId="107" xfId="0" applyFont="1" applyBorder="1" applyAlignment="1">
      <alignment horizontal="center"/>
    </xf>
    <xf numFmtId="0" fontId="64" fillId="0" borderId="0" xfId="0" applyFont="1" applyAlignment="1">
      <alignment horizontal="left" vertical="top" wrapText="1"/>
    </xf>
    <xf numFmtId="0" fontId="0" fillId="0" borderId="0" xfId="0" applyAlignment="1">
      <alignment horizontal="left" vertical="top" wrapText="1"/>
    </xf>
    <xf numFmtId="0" fontId="64" fillId="0" borderId="0" xfId="0" applyFont="1" applyAlignment="1">
      <alignment horizontal="left" vertical="top" indent="1"/>
    </xf>
    <xf numFmtId="0" fontId="1" fillId="0" borderId="0" xfId="0" applyFont="1" applyAlignment="1">
      <alignment horizontal="left" vertical="top" wrapText="1"/>
    </xf>
    <xf numFmtId="0" fontId="2" fillId="0" borderId="0" xfId="0" applyFont="1" applyAlignment="1">
      <alignment horizontal="left" vertical="top" wrapText="1"/>
    </xf>
    <xf numFmtId="0" fontId="65" fillId="0" borderId="0" xfId="0" applyFont="1">
      <alignment horizontal="left" wrapText="1"/>
    </xf>
    <xf numFmtId="0" fontId="66" fillId="0" borderId="0" xfId="0" applyFont="1">
      <alignment horizontal="left" wrapText="1"/>
    </xf>
    <xf numFmtId="0" fontId="0" fillId="39" borderId="0" xfId="0" applyFill="1" applyAlignment="1">
      <alignment horizontal="center" wrapText="1"/>
    </xf>
    <xf numFmtId="0" fontId="0" fillId="42" borderId="0" xfId="0" applyFill="1" applyAlignment="1">
      <alignment horizontal="center" wrapText="1"/>
    </xf>
    <xf numFmtId="0" fontId="0" fillId="46" borderId="0" xfId="0" applyFill="1" applyAlignment="1">
      <alignment horizontal="center" wrapText="1"/>
    </xf>
    <xf numFmtId="0" fontId="0" fillId="44" borderId="0" xfId="0" applyFill="1" applyAlignment="1">
      <alignment horizontal="center" wrapText="1"/>
    </xf>
    <xf numFmtId="0" fontId="0" fillId="0" borderId="0" xfId="0" applyAlignment="1">
      <alignment horizontal="center" wrapText="1"/>
    </xf>
    <xf numFmtId="0" fontId="0" fillId="48" borderId="0" xfId="0" applyFill="1" applyAlignment="1">
      <alignment horizontal="center" wrapText="1"/>
    </xf>
    <xf numFmtId="0" fontId="0" fillId="47" borderId="0" xfId="0" applyFill="1" applyAlignment="1">
      <alignment horizontal="center" wrapText="1"/>
    </xf>
  </cellXfs>
  <cellStyles count="57">
    <cellStyle name="20 % - Accent1" xfId="30" builtinId="30" customBuiltin="1"/>
    <cellStyle name="20 % - Accent2" xfId="34" builtinId="34" customBuiltin="1"/>
    <cellStyle name="20 % - Accent3" xfId="38" builtinId="38" customBuiltin="1"/>
    <cellStyle name="20 % - Accent4" xfId="42" builtinId="42" customBuiltin="1"/>
    <cellStyle name="20 % - Accent5" xfId="46" builtinId="46" customBuiltin="1"/>
    <cellStyle name="20 % - Accent6" xfId="50" builtinId="50" customBuiltin="1"/>
    <cellStyle name="40 % - Accent1" xfId="31" builtinId="31" customBuiltin="1"/>
    <cellStyle name="40 % - Accent2" xfId="35" builtinId="35" customBuiltin="1"/>
    <cellStyle name="40 % - Accent3" xfId="39" builtinId="39" customBuiltin="1"/>
    <cellStyle name="40 % - Accent4" xfId="43" builtinId="43" customBuiltin="1"/>
    <cellStyle name="40 % - Accent5" xfId="47" builtinId="47" customBuiltin="1"/>
    <cellStyle name="40 % - Accent6" xfId="51" builtinId="51" customBuiltin="1"/>
    <cellStyle name="60 % - Accent1" xfId="32" builtinId="32" customBuiltin="1"/>
    <cellStyle name="60 % - Accent2" xfId="36" builtinId="36" customBuiltin="1"/>
    <cellStyle name="60 % - Accent3" xfId="40" builtinId="40" customBuiltin="1"/>
    <cellStyle name="60 % - Accent4" xfId="44" builtinId="44" customBuiltin="1"/>
    <cellStyle name="60 % - Accent5" xfId="48" builtinId="48" customBuiltin="1"/>
    <cellStyle name="60 %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Avertissement" xfId="12" builtinId="11" customBuiltin="1"/>
    <cellStyle name="Calcul" xfId="26" builtinId="22" customBuiltin="1"/>
    <cellStyle name="Cellule liée" xfId="27" builtinId="24" customBuiltin="1"/>
    <cellStyle name="Date" xfId="16" xr:uid="{00000000-0005-0000-0000-00001B000000}"/>
    <cellStyle name="données-école" xfId="54" xr:uid="{00000000-0005-0000-0000-00001C000000}"/>
    <cellStyle name="Entrée" xfId="17" builtinId="20" customBuiltin="1"/>
    <cellStyle name="entrées-école" xfId="55" xr:uid="{00000000-0005-0000-0000-00001E000000}"/>
    <cellStyle name="Étiquette du taux de TVA" xfId="20" xr:uid="{00000000-0005-0000-0000-00001F000000}"/>
    <cellStyle name="Insatisfaisant" xfId="23" builtinId="27" customBuiltin="1"/>
    <cellStyle name="Lien hypertexte" xfId="5" builtinId="8" customBuiltin="1"/>
    <cellStyle name="Lien hypertexte visité" xfId="6" builtinId="9" customBuiltin="1"/>
    <cellStyle name="Milliers" xfId="7" builtinId="3" customBuiltin="1"/>
    <cellStyle name="Milliers [0]" xfId="8" builtinId="6" customBuiltin="1"/>
    <cellStyle name="Monétaire" xfId="9" builtinId="4" customBuiltin="1"/>
    <cellStyle name="Monétaire [0]" xfId="10" builtinId="7" customBuiltin="1"/>
    <cellStyle name="Neutre" xfId="24" builtinId="28" customBuiltin="1"/>
    <cellStyle name="Normal" xfId="0" builtinId="0" customBuiltin="1"/>
    <cellStyle name="Note" xfId="19" builtinId="10" customBuiltin="1"/>
    <cellStyle name="Pourcentage" xfId="11" builtinId="5" customBuiltin="1"/>
    <cellStyle name="Satisfaisant" xfId="22" builtinId="26" customBuiltin="1"/>
    <cellStyle name="Sortie" xfId="25" builtinId="21" customBuiltin="1"/>
    <cellStyle name="soustitres-école" xfId="56" xr:uid="{00000000-0005-0000-0000-00002D000000}"/>
    <cellStyle name="Téléphone" xfId="15" xr:uid="{00000000-0005-0000-0000-00002E000000}"/>
    <cellStyle name="Texte explicatif" xfId="13" builtinId="53" customBuiltin="1"/>
    <cellStyle name="Titre" xfId="1" builtinId="15" customBuiltin="1"/>
    <cellStyle name="Titre 1" xfId="2" builtinId="16" customBuiltin="1"/>
    <cellStyle name="Titre 2" xfId="3" builtinId="17" customBuiltin="1"/>
    <cellStyle name="Titre 3" xfId="4" builtinId="18" customBuiltin="1"/>
    <cellStyle name="Titre 4" xfId="18" builtinId="19" customBuiltin="1"/>
    <cellStyle name="titres-école" xfId="53" xr:uid="{00000000-0005-0000-0000-000035000000}"/>
    <cellStyle name="Total" xfId="14" builtinId="25" customBuiltin="1"/>
    <cellStyle name="Vérification" xfId="28" builtinId="23" customBuiltin="1"/>
    <cellStyle name="z Texte masqué" xfId="21" xr:uid="{00000000-0005-0000-0000-000038000000}"/>
  </cellStyles>
  <dxfs count="205">
    <dxf>
      <numFmt numFmtId="1" formatCode="0"/>
    </dxf>
    <dxf>
      <numFmt numFmtId="1" formatCode="0"/>
    </dxf>
    <dxf>
      <numFmt numFmtId="1" formatCode="0"/>
    </dxf>
    <dxf>
      <numFmt numFmtId="1" formatCode="0"/>
    </dxf>
    <dxf>
      <numFmt numFmtId="1" formatCode="0"/>
    </dxf>
    <dxf>
      <numFmt numFmtId="1" formatCode="0"/>
    </dxf>
    <dxf>
      <numFmt numFmtId="1" formatCode="0"/>
    </dxf>
    <dxf>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left" vertical="bottom" textRotation="0" wrapText="1" indent="1" justifyLastLine="0" shrinkToFit="0" readingOrder="0"/>
      <border diagonalUp="0" diagonalDown="0">
        <left/>
        <right style="medium">
          <color indexed="64"/>
        </right>
        <top style="medium">
          <color indexed="64"/>
        </top>
        <bottom/>
        <vertical/>
        <horizontal/>
      </border>
    </dxf>
    <dxf>
      <border outline="0">
        <left style="medium">
          <color indexed="64"/>
        </left>
      </border>
    </dxf>
    <dxf>
      <numFmt numFmtId="172" formatCode="0.0"/>
    </dxf>
    <dxf>
      <numFmt numFmtId="172" formatCode="0.0"/>
    </dxf>
    <dxf>
      <numFmt numFmtId="172" formatCode="0.0"/>
    </dxf>
    <dxf>
      <numFmt numFmtId="172" formatCode="0.0"/>
    </dxf>
    <dxf>
      <numFmt numFmtId="172" formatCode="0.0"/>
    </dxf>
    <dxf>
      <numFmt numFmtId="172" formatCode="0.0"/>
    </dxf>
    <dxf>
      <numFmt numFmtId="172" formatCode="0.0"/>
    </dxf>
    <dxf>
      <numFmt numFmtId="172" formatCode="0.0"/>
    </dxf>
    <dxf>
      <numFmt numFmtId="172" formatCode="0.0"/>
    </dxf>
    <dxf>
      <numFmt numFmtId="172" formatCode="0.0"/>
    </dxf>
    <dxf>
      <numFmt numFmtId="172" formatCode="0.0"/>
    </dxf>
    <dxf>
      <numFmt numFmtId="172" formatCode="0.0"/>
    </dxf>
    <dxf>
      <numFmt numFmtId="172" formatCode="0.0"/>
    </dxf>
    <dxf>
      <numFmt numFmtId="172" formatCode="0.0"/>
    </dxf>
    <dxf>
      <numFmt numFmtId="172" formatCode="0.0"/>
    </dxf>
    <dxf>
      <numFmt numFmtId="172" formatCode="0.0"/>
    </dxf>
    <dxf>
      <numFmt numFmtId="172" formatCode="0.0"/>
    </dxf>
    <dxf>
      <numFmt numFmtId="172" formatCode="0.0"/>
    </dxf>
    <dxf>
      <numFmt numFmtId="172" formatCode="0.0"/>
    </dxf>
    <dxf>
      <numFmt numFmtId="172" formatCode="0.0"/>
    </dxf>
    <dxf>
      <alignment horizontal="left" vertical="bottom" textRotation="0" wrapText="1" indent="0" justifyLastLine="0" shrinkToFit="0" readingOrder="0"/>
    </dxf>
    <dxf>
      <numFmt numFmtId="172" formatCode="0.0"/>
    </dxf>
    <dxf>
      <font>
        <b val="0"/>
        <i val="0"/>
        <strike val="0"/>
        <condense val="0"/>
        <extend val="0"/>
        <outline val="0"/>
        <shadow val="0"/>
        <u val="none"/>
        <vertAlign val="baseline"/>
        <sz val="11"/>
        <color theme="1" tint="0.34998626667073579"/>
        <name val="Arial"/>
        <family val="2"/>
        <scheme val="minor"/>
      </font>
      <fill>
        <patternFill patternType="solid">
          <fgColor indexed="64"/>
          <bgColor theme="0"/>
        </patternFill>
      </fill>
      <border diagonalUp="0" diagonalDown="0">
        <left/>
        <right/>
        <top style="thin">
          <color theme="0" tint="-0.14996795556505021"/>
        </top>
        <bottom style="thin">
          <color theme="0" tint="-0.14996795556505021"/>
        </bottom>
        <vertical/>
        <horizontal/>
      </border>
    </dxf>
    <dxf>
      <numFmt numFmtId="172" formatCode="0.0"/>
    </dxf>
    <dxf>
      <numFmt numFmtId="172" formatCode="0.0"/>
    </dxf>
    <dxf>
      <numFmt numFmtId="172" formatCode="0.0"/>
    </dxf>
    <dxf>
      <numFmt numFmtId="172" formatCode="0.0"/>
    </dxf>
    <dxf>
      <font>
        <b val="0"/>
        <i val="0"/>
        <strike val="0"/>
        <condense val="0"/>
        <extend val="0"/>
        <outline val="0"/>
        <shadow val="0"/>
        <u val="none"/>
        <vertAlign val="baseline"/>
        <sz val="12"/>
        <color auto="1"/>
        <name val="Arial"/>
        <family val="2"/>
        <scheme val="minor"/>
      </font>
      <numFmt numFmtId="0" formatCode="General"/>
      <alignment horizontal="left" vertical="bottom" textRotation="0" wrapText="1" indent="0" justifyLastLine="0" shrinkToFit="0" readingOrder="0"/>
      <border diagonalUp="0" diagonalDown="0">
        <left style="medium">
          <color indexed="64"/>
        </left>
        <right/>
        <top style="medium">
          <color indexed="64"/>
        </top>
        <bottom style="medium">
          <color indexed="64"/>
        </bottom>
      </border>
    </dxf>
    <dxf>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minor"/>
      </font>
      <numFmt numFmtId="0" formatCode="General"/>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border>
    </dxf>
    <dxf>
      <alignment horizontal="left" vertical="bottom" textRotation="0" wrapText="1" indent="0" justifyLastLine="0" shrinkToFit="0" readingOrder="0"/>
      <border diagonalUp="0" diagonalDown="0">
        <left style="thick">
          <color indexed="64"/>
        </left>
        <right/>
        <top style="medium">
          <color indexed="64"/>
        </top>
        <bottom style="medium">
          <color indexed="64"/>
        </bottom>
      </border>
    </dxf>
    <dxf>
      <numFmt numFmtId="0" formatCode="General"/>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border>
    </dxf>
    <dxf>
      <alignment horizontal="left" vertical="bottom" textRotation="0" wrapText="1" indent="0" justifyLastLine="0" shrinkToFit="0" readingOrder="0"/>
      <border diagonalUp="0" diagonalDown="0" outline="0">
        <left style="medium">
          <color indexed="64"/>
        </left>
        <right/>
        <top style="medium">
          <color indexed="64"/>
        </top>
        <bottom style="medium">
          <color indexed="64"/>
        </bottom>
      </border>
    </dxf>
    <dxf>
      <numFmt numFmtId="0" formatCode="General"/>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border>
    </dxf>
    <dxf>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border>
    </dxf>
    <dxf>
      <font>
        <b val="0"/>
        <i val="0"/>
        <strike val="0"/>
        <condense val="0"/>
        <extend val="0"/>
        <outline val="0"/>
        <shadow val="0"/>
        <u val="none"/>
        <vertAlign val="baseline"/>
        <sz val="14"/>
        <color theme="1"/>
        <name val="Arial"/>
        <family val="2"/>
        <scheme val="minor"/>
      </font>
      <fill>
        <patternFill patternType="solid">
          <fgColor indexed="64"/>
          <bgColor rgb="FFCFCECE"/>
        </patternFill>
      </fill>
      <alignment horizontal="left" vertical="bottom" textRotation="0" wrapText="1" indent="0" justifyLastLine="0" shrinkToFit="0" readingOrder="0"/>
      <border diagonalUp="0" diagonalDown="0" outline="0">
        <left/>
        <right style="medium">
          <color indexed="64"/>
        </right>
        <top style="medium">
          <color indexed="64"/>
        </top>
        <bottom style="medium">
          <color indexed="64"/>
        </bottom>
      </border>
    </dxf>
    <dxf>
      <border outline="0">
        <left style="medium">
          <color rgb="FF000000"/>
        </left>
        <right style="double">
          <color rgb="FF000000"/>
        </right>
      </border>
    </dxf>
    <dxf>
      <alignment horizontal="left" vertical="bottom" textRotation="0" wrapText="1" indent="0" justifyLastLine="0" shrinkToFit="0" readingOrder="0"/>
    </dxf>
    <dxf>
      <font>
        <b/>
        <i val="0"/>
        <strike val="0"/>
        <condense val="0"/>
        <extend val="0"/>
        <outline val="0"/>
        <shadow val="0"/>
        <u val="none"/>
        <vertAlign val="baseline"/>
        <sz val="12"/>
        <color theme="1"/>
        <name val="Arial"/>
        <family val="2"/>
        <scheme val="minor"/>
      </font>
      <fill>
        <patternFill patternType="solid">
          <fgColor indexed="64"/>
          <bgColor theme="0" tint="-0.14999847407452621"/>
        </patternFill>
      </fill>
      <alignment horizontal="left"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family val="2"/>
        <scheme val="minor"/>
      </font>
      <numFmt numFmtId="0" formatCode="General"/>
      <alignment horizontal="left" vertical="bottom" textRotation="0" wrapText="1" indent="0" justifyLastLine="0" shrinkToFit="0" readingOrder="0"/>
      <border diagonalUp="0" diagonalDown="0">
        <left style="medium">
          <color indexed="64"/>
        </left>
        <right/>
        <top style="medium">
          <color indexed="64"/>
        </top>
        <bottom style="medium">
          <color indexed="64"/>
        </bottom>
      </border>
    </dxf>
    <dxf>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minor"/>
      </font>
      <numFmt numFmtId="0" formatCode="General"/>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border>
    </dxf>
    <dxf>
      <alignment horizontal="left" vertical="bottom" textRotation="0" wrapText="1" indent="0" justifyLastLine="0" shrinkToFit="0" readingOrder="0"/>
      <border diagonalUp="0" diagonalDown="0">
        <left style="thick">
          <color indexed="64"/>
        </left>
        <right/>
        <top style="medium">
          <color indexed="64"/>
        </top>
        <bottom style="medium">
          <color indexed="64"/>
        </bottom>
      </border>
    </dxf>
    <dxf>
      <numFmt numFmtId="0" formatCode="General"/>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border>
    </dxf>
    <dxf>
      <alignment horizontal="left" vertical="bottom" textRotation="0" wrapText="1" indent="0" justifyLastLine="0" shrinkToFit="0" readingOrder="0"/>
      <border diagonalUp="0" diagonalDown="0" outline="0">
        <left style="medium">
          <color indexed="64"/>
        </left>
        <right/>
        <top style="medium">
          <color indexed="64"/>
        </top>
        <bottom style="medium">
          <color indexed="64"/>
        </bottom>
      </border>
    </dxf>
    <dxf>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border>
    </dxf>
    <dxf>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border>
    </dxf>
    <dxf>
      <font>
        <b val="0"/>
        <i val="0"/>
        <strike val="0"/>
        <condense val="0"/>
        <extend val="0"/>
        <outline val="0"/>
        <shadow val="0"/>
        <u val="none"/>
        <vertAlign val="baseline"/>
        <sz val="14"/>
        <color theme="1"/>
        <name val="Arial"/>
        <family val="2"/>
        <scheme val="minor"/>
      </font>
      <fill>
        <patternFill patternType="solid">
          <fgColor indexed="64"/>
          <bgColor rgb="FFF7B8B3"/>
        </patternFill>
      </fill>
      <alignment horizontal="left" vertical="bottom" textRotation="0" indent="0" justifyLastLine="0" shrinkToFit="0" readingOrder="0"/>
      <border diagonalUp="0" diagonalDown="0" outline="0">
        <left/>
        <right style="medium">
          <color indexed="64"/>
        </right>
        <top style="medium">
          <color indexed="64"/>
        </top>
        <bottom style="medium">
          <color indexed="64"/>
        </bottom>
      </border>
    </dxf>
    <dxf>
      <border outline="0">
        <left style="medium">
          <color rgb="FF000000"/>
        </left>
        <right style="double">
          <color rgb="FF000000"/>
        </right>
      </border>
    </dxf>
    <dxf>
      <alignment horizontal="left" vertical="bottom" textRotation="0" indent="0" justifyLastLine="0" shrinkToFit="0" readingOrder="0"/>
    </dxf>
    <dxf>
      <font>
        <b/>
        <i val="0"/>
        <strike val="0"/>
        <condense val="0"/>
        <extend val="0"/>
        <outline val="0"/>
        <shadow val="0"/>
        <u val="none"/>
        <vertAlign val="baseline"/>
        <sz val="12"/>
        <color theme="1"/>
        <name val="Arial"/>
        <family val="2"/>
        <scheme val="minor"/>
      </font>
      <fill>
        <patternFill patternType="solid">
          <fgColor indexed="64"/>
          <bgColor theme="0" tint="-0.14999847407452621"/>
        </patternFill>
      </fill>
      <alignment horizontal="left"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family val="2"/>
        <scheme val="minor"/>
      </font>
      <numFmt numFmtId="0" formatCode="General"/>
      <alignment horizontal="general" vertical="bottom" textRotation="0" wrapText="1" indent="0" justifyLastLine="0" shrinkToFit="0" readingOrder="0"/>
      <border diagonalUp="0" diagonalDown="0">
        <left style="medium">
          <color indexed="64"/>
        </left>
        <right/>
        <top style="medium">
          <color indexed="64"/>
        </top>
        <bottom style="medium">
          <color indexed="64"/>
        </bottom>
      </border>
    </dxf>
    <dxf>
      <alignment horizontal="general"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minor"/>
      </font>
      <numFmt numFmtId="0" formatCode="General"/>
      <alignment horizontal="general"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border>
    </dxf>
    <dxf>
      <alignment horizontal="general" vertical="bottom" textRotation="0" wrapText="1" indent="0" justifyLastLine="0" shrinkToFit="0" readingOrder="0"/>
      <border diagonalUp="0" diagonalDown="0">
        <left style="thick">
          <color indexed="64"/>
        </left>
        <right/>
        <top style="medium">
          <color indexed="64"/>
        </top>
        <bottom style="medium">
          <color indexed="64"/>
        </bottom>
      </border>
    </dxf>
    <dxf>
      <numFmt numFmtId="0" formatCode="General"/>
      <alignment horizontal="general" vertical="bottom" textRotation="0" wrapText="1" indent="0" justifyLastLine="0" shrinkToFit="0" readingOrder="0"/>
      <border diagonalUp="0" diagonalDown="0" outline="0">
        <left style="medium">
          <color indexed="64"/>
        </left>
        <right style="medium">
          <color indexed="64"/>
        </right>
        <top style="medium">
          <color indexed="64"/>
        </top>
        <bottom/>
      </border>
    </dxf>
    <dxf>
      <alignment horizontal="general" vertical="bottom" textRotation="0" wrapText="1" indent="0" justifyLastLine="0" shrinkToFit="0" readingOrder="0"/>
      <border diagonalUp="0" diagonalDown="0" outline="0">
        <left style="medium">
          <color indexed="64"/>
        </left>
        <right/>
        <top style="medium">
          <color indexed="64"/>
        </top>
        <bottom style="medium">
          <color indexed="64"/>
        </bottom>
      </border>
    </dxf>
    <dxf>
      <numFmt numFmtId="0" formatCode="General"/>
      <alignment horizontal="general" vertical="bottom" textRotation="0" wrapText="1" indent="0" justifyLastLine="0" shrinkToFit="0" readingOrder="0"/>
      <border diagonalUp="0" diagonalDown="0" outline="0">
        <left style="medium">
          <color indexed="64"/>
        </left>
        <right style="medium">
          <color indexed="64"/>
        </right>
        <top style="medium">
          <color indexed="64"/>
        </top>
        <bottom/>
      </border>
    </dxf>
    <dxf>
      <alignment horizontal="general" vertical="bottom" textRotation="0" wrapText="1" indent="0" justifyLastLine="0" shrinkToFit="0" readingOrder="0"/>
      <border diagonalUp="0" diagonalDown="0" outline="0">
        <left style="medium">
          <color indexed="64"/>
        </left>
        <right style="medium">
          <color indexed="64"/>
        </right>
        <top style="medium">
          <color indexed="64"/>
        </top>
        <bottom/>
      </border>
    </dxf>
    <dxf>
      <font>
        <b val="0"/>
        <i val="0"/>
        <strike val="0"/>
        <condense val="0"/>
        <extend val="0"/>
        <outline val="0"/>
        <shadow val="0"/>
        <u val="none"/>
        <vertAlign val="baseline"/>
        <sz val="14"/>
        <color theme="1"/>
        <name val="Arial"/>
        <family val="2"/>
        <scheme val="minor"/>
      </font>
      <fill>
        <patternFill patternType="solid">
          <fgColor indexed="64"/>
          <bgColor rgb="FFC0EAED"/>
        </patternFill>
      </fill>
      <alignment horizontal="general" vertical="bottom" textRotation="0" wrapText="1" indent="0" justifyLastLine="0" shrinkToFit="0" readingOrder="0"/>
      <border diagonalUp="0" diagonalDown="0" outline="0">
        <left/>
        <right style="medium">
          <color indexed="64"/>
        </right>
        <top style="medium">
          <color indexed="64"/>
        </top>
        <bottom style="medium">
          <color indexed="64"/>
        </bottom>
      </border>
    </dxf>
    <dxf>
      <border outline="0">
        <left style="medium">
          <color rgb="FF000000"/>
        </left>
        <right style="double">
          <color rgb="FF000000"/>
        </right>
      </border>
    </dxf>
    <dxf>
      <alignment horizontal="general" vertical="bottom" textRotation="0" wrapText="1" indent="0" justifyLastLine="0" shrinkToFit="0" readingOrder="0"/>
    </dxf>
    <dxf>
      <font>
        <b/>
        <i val="0"/>
        <strike val="0"/>
        <condense val="0"/>
        <extend val="0"/>
        <outline val="0"/>
        <shadow val="0"/>
        <u val="none"/>
        <vertAlign val="baseline"/>
        <sz val="12"/>
        <color theme="1"/>
        <name val="Arial"/>
        <family val="2"/>
        <scheme val="minor"/>
      </font>
      <fill>
        <patternFill patternType="solid">
          <fgColor indexed="64"/>
          <bgColor theme="0" tint="-0.14999847407452621"/>
        </patternFill>
      </fill>
      <alignment horizontal="left"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family val="2"/>
        <scheme val="minor"/>
      </font>
      <numFmt numFmtId="0" formatCode="General"/>
      <alignment horizontal="general" vertical="bottom" textRotation="0" wrapText="1" indent="0" justifyLastLine="0" shrinkToFit="0" readingOrder="0"/>
      <border diagonalUp="0" diagonalDown="0">
        <left style="medium">
          <color indexed="64"/>
        </left>
        <right/>
        <top style="medium">
          <color indexed="64"/>
        </top>
        <bottom style="medium">
          <color indexed="64"/>
        </bottom>
      </border>
    </dxf>
    <dxf>
      <alignment horizontal="general"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minor"/>
      </font>
      <numFmt numFmtId="0" formatCode="General"/>
      <alignment horizontal="general"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border>
    </dxf>
    <dxf>
      <alignment horizontal="general" vertical="bottom" textRotation="0" wrapText="1" indent="0" justifyLastLine="0" shrinkToFit="0" readingOrder="0"/>
      <border diagonalUp="0" diagonalDown="0">
        <left style="thick">
          <color indexed="64"/>
        </left>
        <right/>
        <top style="medium">
          <color indexed="64"/>
        </top>
        <bottom style="medium">
          <color indexed="64"/>
        </bottom>
      </border>
    </dxf>
    <dxf>
      <numFmt numFmtId="0" formatCode="General"/>
      <alignment horizontal="general" vertical="bottom" textRotation="0" wrapText="1" indent="0" justifyLastLine="0" shrinkToFit="0" readingOrder="0"/>
      <border diagonalUp="0" diagonalDown="0" outline="0">
        <left style="medium">
          <color indexed="64"/>
        </left>
        <right style="medium">
          <color indexed="64"/>
        </right>
        <top style="medium">
          <color indexed="64"/>
        </top>
        <bottom/>
      </border>
    </dxf>
    <dxf>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border diagonalUp="0" diagonalDown="0" outline="0">
        <left style="medium">
          <color indexed="64"/>
        </left>
        <right style="medium">
          <color indexed="64"/>
        </right>
        <top style="medium">
          <color indexed="64"/>
        </top>
        <bottom/>
      </border>
    </dxf>
    <dxf>
      <alignment horizontal="general" vertical="bottom" textRotation="0" wrapText="1" indent="0" justifyLastLine="0" shrinkToFit="0" readingOrder="0"/>
      <border diagonalUp="0" diagonalDown="0" outline="0">
        <left style="medium">
          <color indexed="64"/>
        </left>
        <right style="medium">
          <color indexed="64"/>
        </right>
        <top style="medium">
          <color indexed="64"/>
        </top>
        <bottom/>
      </border>
    </dxf>
    <dxf>
      <font>
        <b val="0"/>
        <i val="0"/>
        <strike val="0"/>
        <condense val="0"/>
        <extend val="0"/>
        <outline val="0"/>
        <shadow val="0"/>
        <u val="none"/>
        <vertAlign val="baseline"/>
        <sz val="14"/>
        <color theme="1"/>
        <name val="Arial"/>
        <family val="2"/>
        <scheme val="minor"/>
      </font>
      <fill>
        <patternFill patternType="solid">
          <fgColor indexed="64"/>
          <bgColor rgb="FFF7B8B3"/>
        </patternFill>
      </fill>
      <alignment horizontal="general" vertical="bottom" textRotation="0" indent="0" justifyLastLine="0" shrinkToFit="0" readingOrder="0"/>
      <border diagonalUp="0" diagonalDown="0" outline="0">
        <left/>
        <right style="medium">
          <color indexed="64"/>
        </right>
        <top style="medium">
          <color indexed="64"/>
        </top>
        <bottom style="medium">
          <color indexed="64"/>
        </bottom>
      </border>
    </dxf>
    <dxf>
      <border outline="0">
        <left style="medium">
          <color rgb="FF000000"/>
        </left>
        <right style="double">
          <color rgb="FF000000"/>
        </right>
      </border>
    </dxf>
    <dxf>
      <alignment horizontal="general" vertical="bottom" textRotation="0" indent="0" justifyLastLine="0" shrinkToFit="0" readingOrder="0"/>
    </dxf>
    <dxf>
      <font>
        <b/>
        <i val="0"/>
        <strike val="0"/>
        <condense val="0"/>
        <extend val="0"/>
        <outline val="0"/>
        <shadow val="0"/>
        <u val="none"/>
        <vertAlign val="baseline"/>
        <sz val="12"/>
        <color theme="1"/>
        <name val="Arial"/>
        <family val="2"/>
        <scheme val="minor"/>
      </font>
      <fill>
        <patternFill patternType="solid">
          <fgColor indexed="64"/>
          <bgColor theme="0" tint="-0.14999847407452621"/>
        </patternFill>
      </fill>
      <alignment horizontal="general"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family val="2"/>
        <scheme val="minor"/>
      </font>
      <numFmt numFmtId="0" formatCode="General"/>
      <alignment horizontal="left" vertical="bottom" textRotation="0" wrapText="1" indent="0" justifyLastLine="0" shrinkToFit="0" readingOrder="0"/>
      <border diagonalUp="0" diagonalDown="0">
        <left style="medium">
          <color indexed="64"/>
        </left>
        <right/>
        <top style="medium">
          <color indexed="64"/>
        </top>
        <bottom style="medium">
          <color indexed="64"/>
        </bottom>
      </border>
    </dxf>
    <dxf>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minor"/>
      </font>
      <numFmt numFmtId="0" formatCode="General"/>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border>
    </dxf>
    <dxf>
      <alignment horizontal="left" vertical="bottom" textRotation="0" wrapText="1" indent="0" justifyLastLine="0" shrinkToFit="0" readingOrder="0"/>
      <border diagonalUp="0" diagonalDown="0">
        <left style="thick">
          <color indexed="64"/>
        </left>
        <right/>
        <top style="medium">
          <color indexed="64"/>
        </top>
        <bottom style="medium">
          <color indexed="64"/>
        </bottom>
      </border>
    </dxf>
    <dxf>
      <font>
        <sz val="12"/>
        <color auto="1"/>
      </font>
      <numFmt numFmtId="0" formatCode="General"/>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alignment horizontal="left" vertical="bottom" textRotation="0" wrapText="1" indent="0" justifyLastLine="0" shrinkToFit="0" readingOrder="0"/>
    </dxf>
    <dxf>
      <font>
        <sz val="12"/>
        <color auto="1"/>
      </font>
      <numFmt numFmtId="0" formatCode="General"/>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border>
    </dxf>
    <dxf>
      <font>
        <b val="0"/>
        <i val="0"/>
        <strike val="0"/>
        <condense val="0"/>
        <extend val="0"/>
        <outline val="0"/>
        <shadow val="0"/>
        <u val="none"/>
        <vertAlign val="baseline"/>
        <sz val="14"/>
        <color theme="1"/>
        <name val="Arial"/>
        <family val="2"/>
        <scheme val="minor"/>
      </font>
      <fill>
        <patternFill patternType="solid">
          <fgColor indexed="64"/>
          <bgColor rgb="FFF7B8B3"/>
        </patternFill>
      </fill>
      <alignment horizontal="left" vertical="bottom" textRotation="0" wrapText="1" indent="0" justifyLastLine="0" shrinkToFit="0" readingOrder="0"/>
      <border diagonalUp="0" diagonalDown="0" outline="0">
        <left/>
        <right style="medium">
          <color indexed="64"/>
        </right>
        <top style="medium">
          <color indexed="64"/>
        </top>
        <bottom style="medium">
          <color indexed="64"/>
        </bottom>
      </border>
    </dxf>
    <dxf>
      <border outline="0">
        <left style="medium">
          <color rgb="FF000000"/>
        </left>
        <right style="double">
          <color rgb="FF000000"/>
        </right>
      </border>
    </dxf>
    <dxf>
      <alignment horizontal="left" vertical="bottom" textRotation="0" wrapText="1" indent="0" justifyLastLine="0" shrinkToFit="0" readingOrder="0"/>
    </dxf>
    <dxf>
      <font>
        <b/>
        <i val="0"/>
        <strike val="0"/>
        <condense val="0"/>
        <extend val="0"/>
        <outline val="0"/>
        <shadow val="0"/>
        <u val="none"/>
        <vertAlign val="baseline"/>
        <sz val="12"/>
        <color theme="1"/>
        <name val="Arial"/>
        <family val="2"/>
        <scheme val="minor"/>
      </font>
      <fill>
        <patternFill patternType="solid">
          <fgColor indexed="64"/>
          <bgColor theme="0" tint="-0.14999847407452621"/>
        </patternFill>
      </fill>
      <alignment horizontal="left"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family val="2"/>
        <scheme val="minor"/>
      </font>
      <numFmt numFmtId="0" formatCode="General"/>
      <alignment horizontal="left" vertical="bottom" textRotation="0" wrapText="1" indent="0" justifyLastLine="0" shrinkToFit="0" readingOrder="0"/>
      <border diagonalUp="0" diagonalDown="0">
        <left style="medium">
          <color indexed="64"/>
        </left>
        <right/>
        <top style="medium">
          <color indexed="64"/>
        </top>
        <bottom style="medium">
          <color indexed="64"/>
        </bottom>
      </border>
    </dxf>
    <dxf>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minor"/>
      </font>
      <numFmt numFmtId="0" formatCode="General"/>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border>
    </dxf>
    <dxf>
      <alignment horizontal="left" vertical="bottom" textRotation="0" wrapText="1" indent="0" justifyLastLine="0" shrinkToFit="0" readingOrder="0"/>
      <border diagonalUp="0" diagonalDown="0">
        <left style="thick">
          <color indexed="64"/>
        </left>
        <right/>
        <top style="medium">
          <color indexed="64"/>
        </top>
        <bottom style="medium">
          <color indexed="64"/>
        </bottom>
      </border>
    </dxf>
    <dxf>
      <font>
        <sz val="12"/>
        <color auto="1"/>
      </font>
      <numFmt numFmtId="0" formatCode="General"/>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alignment horizontal="left" vertical="bottom" textRotation="0" wrapText="1" indent="0" justifyLastLine="0" shrinkToFit="0" readingOrder="0"/>
      <border diagonalUp="0" diagonalDown="0" outline="0">
        <left style="medium">
          <color indexed="64"/>
        </left>
        <right style="medium">
          <color indexed="64"/>
        </right>
        <top/>
        <bottom/>
      </border>
    </dxf>
    <dxf>
      <font>
        <sz val="12"/>
        <color auto="1"/>
      </font>
      <numFmt numFmtId="0" formatCode="General"/>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border>
    </dxf>
    <dxf>
      <font>
        <b val="0"/>
        <i val="0"/>
        <strike val="0"/>
        <condense val="0"/>
        <extend val="0"/>
        <outline val="0"/>
        <shadow val="0"/>
        <u val="none"/>
        <vertAlign val="baseline"/>
        <sz val="14"/>
        <color theme="1"/>
        <name val="Arial"/>
        <family val="2"/>
        <scheme val="minor"/>
      </font>
      <fill>
        <patternFill patternType="solid">
          <fgColor indexed="64"/>
          <bgColor rgb="FFF7B8B3"/>
        </patternFill>
      </fill>
      <alignment horizontal="left" vertical="bottom" textRotation="0" wrapText="1" indent="0" justifyLastLine="0" shrinkToFit="0" readingOrder="0"/>
      <border diagonalUp="0" diagonalDown="0" outline="0">
        <left/>
        <right style="medium">
          <color indexed="64"/>
        </right>
        <top style="medium">
          <color indexed="64"/>
        </top>
        <bottom style="medium">
          <color indexed="64"/>
        </bottom>
      </border>
    </dxf>
    <dxf>
      <border outline="0">
        <left style="medium">
          <color rgb="FF000000"/>
        </left>
        <right style="double">
          <color rgb="FF000000"/>
        </right>
      </border>
    </dxf>
    <dxf>
      <alignment horizontal="left" vertical="bottom" textRotation="0" wrapText="1" indent="0" justifyLastLine="0" shrinkToFit="0" readingOrder="0"/>
    </dxf>
    <dxf>
      <font>
        <b/>
        <i val="0"/>
        <strike val="0"/>
        <condense val="0"/>
        <extend val="0"/>
        <outline val="0"/>
        <shadow val="0"/>
        <u val="none"/>
        <vertAlign val="baseline"/>
        <sz val="12"/>
        <color theme="1"/>
        <name val="Arial"/>
        <family val="2"/>
        <scheme val="minor"/>
      </font>
      <fill>
        <patternFill patternType="solid">
          <fgColor indexed="64"/>
          <bgColor theme="0" tint="-0.14999847407452621"/>
        </patternFill>
      </fill>
      <alignment horizontal="left"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family val="2"/>
        <scheme val="minor"/>
      </font>
      <numFmt numFmtId="0" formatCode="General"/>
      <alignment horizontal="left" vertical="bottom" textRotation="0" wrapText="1" indent="0" justifyLastLine="0" shrinkToFit="0" readingOrder="0"/>
      <border diagonalUp="0" diagonalDown="0">
        <left style="medium">
          <color indexed="64"/>
        </left>
        <right/>
        <top style="medium">
          <color indexed="64"/>
        </top>
        <bottom style="medium">
          <color indexed="64"/>
        </bottom>
        <horizontal style="medium">
          <color indexed="64"/>
        </horizontal>
      </border>
    </dxf>
    <dxf>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horizontal style="medium">
          <color indexed="64"/>
        </horizontal>
      </border>
    </dxf>
    <dxf>
      <font>
        <b val="0"/>
        <i val="0"/>
        <strike val="0"/>
        <condense val="0"/>
        <extend val="0"/>
        <outline val="0"/>
        <shadow val="0"/>
        <u val="none"/>
        <vertAlign val="baseline"/>
        <sz val="12"/>
        <color auto="1"/>
        <name val="Arial"/>
        <family val="2"/>
        <scheme val="minor"/>
      </font>
      <numFmt numFmtId="0" formatCode="General"/>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horizontal style="medium">
          <color indexed="64"/>
        </horizontal>
      </border>
    </dxf>
    <dxf>
      <alignment horizontal="left" vertical="bottom" textRotation="0" wrapText="1" indent="0" justifyLastLine="0" shrinkToFit="0" readingOrder="0"/>
      <border diagonalUp="0" diagonalDown="0">
        <left style="thick">
          <color indexed="64"/>
        </left>
        <right/>
        <top style="medium">
          <color indexed="64"/>
        </top>
        <bottom style="medium">
          <color indexed="64"/>
        </bottom>
        <horizontal style="medium">
          <color indexed="64"/>
        </horizontal>
      </border>
    </dxf>
    <dxf>
      <font>
        <sz val="12"/>
        <color auto="1"/>
      </font>
      <numFmt numFmtId="0" formatCode="General"/>
      <alignment horizontal="left" vertical="bottom" textRotation="0" wrapText="1" indent="0" justifyLastLine="0" shrinkToFit="0" readingOrder="0"/>
      <border diagonalUp="0" diagonalDown="0" outline="0">
        <left style="thick">
          <color indexed="64"/>
        </left>
        <right style="medium">
          <color indexed="64"/>
        </right>
        <top style="medium">
          <color indexed="64"/>
        </top>
        <bottom style="medium">
          <color indexed="64"/>
        </bottom>
      </border>
    </dxf>
    <dxf>
      <alignment horizontal="left" vertical="bottom" textRotation="0" wrapText="1" indent="0" justifyLastLine="0" shrinkToFit="0" readingOrder="0"/>
      <border diagonalUp="0" diagonalDown="0" outline="0">
        <left style="medium">
          <color indexed="64"/>
        </left>
        <right/>
        <top style="medium">
          <color indexed="64"/>
        </top>
        <bottom style="medium">
          <color indexed="64"/>
        </bottom>
      </border>
    </dxf>
    <dxf>
      <font>
        <sz val="12"/>
        <color auto="1"/>
      </font>
      <numFmt numFmtId="0" formatCode="General"/>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border>
    </dxf>
    <dxf>
      <font>
        <b val="0"/>
        <i val="0"/>
        <strike val="0"/>
        <condense val="0"/>
        <extend val="0"/>
        <outline val="0"/>
        <shadow val="0"/>
        <u val="none"/>
        <vertAlign val="baseline"/>
        <sz val="14"/>
        <color theme="1"/>
        <name val="Arial"/>
        <family val="2"/>
        <scheme val="minor"/>
      </font>
      <fill>
        <patternFill patternType="solid">
          <fgColor indexed="64"/>
          <bgColor rgb="FFF7B8B3"/>
        </patternFill>
      </fill>
      <border diagonalUp="0" diagonalDown="0">
        <left/>
        <right style="medium">
          <color indexed="64"/>
        </right>
        <top style="medium">
          <color indexed="64"/>
        </top>
        <bottom style="medium">
          <color indexed="64"/>
        </bottom>
        <vertical/>
        <horizontal/>
      </border>
    </dxf>
    <dxf>
      <border outline="0">
        <left style="medium">
          <color rgb="FF000000"/>
        </left>
        <right style="double">
          <color rgb="FF000000"/>
        </right>
      </border>
    </dxf>
    <dxf>
      <font>
        <b/>
        <i val="0"/>
        <strike val="0"/>
        <condense val="0"/>
        <extend val="0"/>
        <outline val="0"/>
        <shadow val="0"/>
        <u val="none"/>
        <vertAlign val="baseline"/>
        <sz val="12"/>
        <color theme="1"/>
        <name val="Arial"/>
        <family val="2"/>
        <scheme val="minor"/>
      </font>
      <fill>
        <patternFill patternType="solid">
          <fgColor indexed="64"/>
          <bgColor theme="0" tint="-0.14999847407452621"/>
        </patternFill>
      </fill>
      <alignment horizontal="left"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family val="2"/>
        <scheme val="minor"/>
      </font>
      <numFmt numFmtId="0" formatCode="General"/>
      <alignment horizontal="left" vertical="bottom" textRotation="0" wrapText="1" indent="0" justifyLastLine="0" shrinkToFit="0" readingOrder="0"/>
      <border diagonalUp="0" diagonalDown="0">
        <left style="medium">
          <color indexed="64"/>
        </left>
        <right/>
        <top style="medium">
          <color indexed="64"/>
        </top>
        <bottom style="medium">
          <color indexed="64"/>
        </bottom>
        <horizontal style="medium">
          <color indexed="64"/>
        </horizontal>
      </border>
    </dxf>
    <dxf>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horizontal style="medium">
          <color indexed="64"/>
        </horizontal>
      </border>
    </dxf>
    <dxf>
      <font>
        <b val="0"/>
        <i val="0"/>
        <strike val="0"/>
        <condense val="0"/>
        <extend val="0"/>
        <outline val="0"/>
        <shadow val="0"/>
        <u val="none"/>
        <vertAlign val="baseline"/>
        <sz val="12"/>
        <color auto="1"/>
        <name val="Arial"/>
        <family val="2"/>
        <scheme val="minor"/>
      </font>
      <numFmt numFmtId="0" formatCode="General"/>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horizontal style="medium">
          <color indexed="64"/>
        </horizontal>
      </border>
    </dxf>
    <dxf>
      <alignment horizontal="left" vertical="bottom" textRotation="0" wrapText="1" indent="0" justifyLastLine="0" shrinkToFit="0" readingOrder="0"/>
      <border diagonalUp="0" diagonalDown="0">
        <left style="thick">
          <color indexed="64"/>
        </left>
        <right/>
        <top style="medium">
          <color indexed="64"/>
        </top>
        <bottom style="medium">
          <color indexed="64"/>
        </bottom>
        <vertical/>
        <horizontal style="medium">
          <color indexed="64"/>
        </horizontal>
      </border>
    </dxf>
    <dxf>
      <font>
        <sz val="12"/>
        <color auto="1"/>
      </font>
      <numFmt numFmtId="0" formatCode="General"/>
      <alignment horizontal="left" vertical="bottom" textRotation="0" wrapText="1" indent="0" justifyLastLine="0" shrinkToFit="0" readingOrder="0"/>
      <border diagonalUp="0" diagonalDown="0" outline="0">
        <left style="medium">
          <color indexed="64"/>
        </left>
        <right style="thick">
          <color indexed="64"/>
        </right>
        <top style="medium">
          <color indexed="64"/>
        </top>
        <bottom style="medium">
          <color indexed="64"/>
        </bottom>
      </border>
    </dxf>
    <dxf>
      <alignment horizontal="left" vertical="bottom" textRotation="0" wrapText="1" indent="0" justifyLastLine="0" shrinkToFit="0" readingOrder="0"/>
      <border diagonalUp="0" diagonalDown="0" outline="0">
        <left style="medium">
          <color indexed="64"/>
        </left>
        <right/>
        <top style="medium">
          <color indexed="64"/>
        </top>
        <bottom style="medium">
          <color indexed="64"/>
        </bottom>
      </border>
    </dxf>
    <dxf>
      <font>
        <sz val="12"/>
        <color auto="1"/>
      </font>
      <numFmt numFmtId="0" formatCode="General"/>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border>
    </dxf>
    <dxf>
      <font>
        <b val="0"/>
        <i val="0"/>
        <strike val="0"/>
        <condense val="0"/>
        <extend val="0"/>
        <outline val="0"/>
        <shadow val="0"/>
        <u val="none"/>
        <vertAlign val="baseline"/>
        <sz val="14"/>
        <color theme="1"/>
        <name val="Arial"/>
        <family val="2"/>
        <scheme val="minor"/>
      </font>
      <fill>
        <patternFill patternType="solid">
          <fgColor indexed="64"/>
          <bgColor rgb="FFF7B8B3"/>
        </patternFill>
      </fill>
      <alignment horizontal="left" vertical="bottom" textRotation="0" wrapText="1" indent="0" justifyLastLine="0" shrinkToFit="0" readingOrder="0"/>
      <border diagonalUp="0" diagonalDown="0" outline="0">
        <left/>
        <right style="medium">
          <color indexed="64"/>
        </right>
        <top style="medium">
          <color indexed="64"/>
        </top>
        <bottom style="medium">
          <color indexed="64"/>
        </bottom>
      </border>
    </dxf>
    <dxf>
      <border outline="0">
        <left style="medium">
          <color rgb="FF000000"/>
        </left>
        <right style="double">
          <color rgb="FF000000"/>
        </right>
      </border>
    </dxf>
    <dxf>
      <alignment horizontal="left" vertical="bottom" textRotation="0" wrapText="1" indent="0" justifyLastLine="0" shrinkToFit="0" readingOrder="0"/>
    </dxf>
    <dxf>
      <font>
        <b/>
        <i val="0"/>
        <strike val="0"/>
        <condense val="0"/>
        <extend val="0"/>
        <outline val="0"/>
        <shadow val="0"/>
        <u val="none"/>
        <vertAlign val="baseline"/>
        <sz val="12"/>
        <color theme="1"/>
        <name val="Arial"/>
        <family val="2"/>
        <scheme val="minor"/>
      </font>
      <fill>
        <patternFill patternType="solid">
          <fgColor indexed="64"/>
          <bgColor theme="0" tint="-0.14999847407452621"/>
        </patternFill>
      </fill>
      <alignment horizontal="left"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family val="2"/>
        <scheme val="minor"/>
      </font>
      <numFmt numFmtId="0" formatCode="General"/>
      <alignment horizontal="left" vertical="bottom" textRotation="0" wrapText="1" indent="0" justifyLastLine="0" shrinkToFit="0" readingOrder="0"/>
      <border diagonalUp="0" diagonalDown="0">
        <left style="medium">
          <color indexed="64"/>
        </left>
        <right/>
        <top style="medium">
          <color indexed="64"/>
        </top>
        <bottom style="medium">
          <color indexed="64"/>
        </bottom>
      </border>
    </dxf>
    <dxf>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minor"/>
      </font>
      <numFmt numFmtId="0" formatCode="General"/>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border>
    </dxf>
    <dxf>
      <alignment horizontal="left" vertical="bottom" textRotation="0" wrapText="1" indent="0" justifyLastLine="0" shrinkToFit="0" readingOrder="0"/>
      <border diagonalUp="0" diagonalDown="0">
        <left style="thick">
          <color indexed="64"/>
        </left>
        <right style="medium">
          <color indexed="64"/>
        </right>
        <top style="medium">
          <color indexed="64"/>
        </top>
        <bottom style="medium">
          <color indexed="64"/>
        </bottom>
      </border>
    </dxf>
    <dxf>
      <font>
        <sz val="12"/>
        <color auto="1"/>
      </font>
      <numFmt numFmtId="0" formatCode="General"/>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sz val="12"/>
        <color auto="1"/>
      </font>
      <numFmt numFmtId="0" formatCode="General"/>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border>
    </dxf>
    <dxf>
      <font>
        <b val="0"/>
        <i val="0"/>
        <strike val="0"/>
        <condense val="0"/>
        <extend val="0"/>
        <outline val="0"/>
        <shadow val="0"/>
        <u val="none"/>
        <vertAlign val="baseline"/>
        <sz val="14"/>
        <color theme="1"/>
        <name val="Arial"/>
        <family val="2"/>
        <scheme val="minor"/>
      </font>
      <fill>
        <patternFill patternType="solid">
          <fgColor indexed="64"/>
          <bgColor rgb="FFF7B8B3"/>
        </patternFill>
      </fill>
      <border diagonalUp="0" diagonalDown="0" outline="0">
        <left/>
        <right style="medium">
          <color indexed="64"/>
        </right>
        <top style="medium">
          <color indexed="64"/>
        </top>
        <bottom style="medium">
          <color indexed="64"/>
        </bottom>
      </border>
    </dxf>
    <dxf>
      <border outline="0">
        <left style="medium">
          <color rgb="FF000000"/>
        </left>
        <right style="double">
          <color rgb="FF000000"/>
        </right>
      </border>
    </dxf>
    <dxf>
      <border>
        <bottom style="medium">
          <color indexed="64"/>
        </bottom>
      </border>
    </dxf>
    <dxf>
      <font>
        <b/>
        <i val="0"/>
        <strike val="0"/>
        <condense val="0"/>
        <extend val="0"/>
        <outline val="0"/>
        <shadow val="0"/>
        <u val="none"/>
        <vertAlign val="baseline"/>
        <sz val="12"/>
        <color theme="1"/>
        <name val="Arial"/>
        <family val="2"/>
        <scheme val="minor"/>
      </font>
      <fill>
        <patternFill patternType="solid">
          <fgColor indexed="64"/>
          <bgColor theme="0" tint="-0.14999847407452621"/>
        </patternFill>
      </fill>
      <alignment horizontal="left"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family val="2"/>
        <scheme val="minor"/>
      </font>
      <numFmt numFmtId="0" formatCode="General"/>
      <alignment horizontal="left" vertical="bottom" textRotation="0" wrapText="1" indent="0" justifyLastLine="0" shrinkToFit="0" readingOrder="0"/>
      <border diagonalUp="0" diagonalDown="0">
        <left style="medium">
          <color indexed="64"/>
        </left>
        <right/>
        <top style="medium">
          <color indexed="64"/>
        </top>
        <bottom style="medium">
          <color indexed="64"/>
        </bottom>
      </border>
    </dxf>
    <dxf>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minor"/>
      </font>
      <numFmt numFmtId="0" formatCode="General"/>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border>
    </dxf>
    <dxf>
      <alignment horizontal="left" vertical="bottom" textRotation="0" wrapText="1" indent="0" justifyLastLine="0" shrinkToFit="0" readingOrder="0"/>
      <border diagonalUp="0" diagonalDown="0">
        <left style="thick">
          <color indexed="64"/>
        </left>
        <right/>
        <top style="medium">
          <color indexed="64"/>
        </top>
        <bottom style="medium">
          <color indexed="64"/>
        </bottom>
      </border>
    </dxf>
    <dxf>
      <font>
        <sz val="12"/>
        <color auto="1"/>
      </font>
      <numFmt numFmtId="0" formatCode="General"/>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alignment horizontal="left" vertical="bottom" textRotation="0" wrapText="1" indent="0" justifyLastLine="0" shrinkToFit="0" readingOrder="0"/>
      <border diagonalUp="0" diagonalDown="0" outline="0">
        <left style="medium">
          <color indexed="64"/>
        </left>
        <right/>
        <top style="medium">
          <color indexed="64"/>
        </top>
        <bottom style="medium">
          <color indexed="64"/>
        </bottom>
      </border>
    </dxf>
    <dxf>
      <font>
        <sz val="12"/>
        <color auto="1"/>
      </font>
      <numFmt numFmtId="0" formatCode="General"/>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border>
    </dxf>
    <dxf>
      <font>
        <b val="0"/>
        <i val="0"/>
        <strike val="0"/>
        <condense val="0"/>
        <extend val="0"/>
        <outline val="0"/>
        <shadow val="0"/>
        <u val="none"/>
        <vertAlign val="baseline"/>
        <sz val="14"/>
        <color theme="1"/>
        <name val="Arial"/>
        <family val="2"/>
        <scheme val="minor"/>
      </font>
      <fill>
        <patternFill patternType="solid">
          <fgColor indexed="64"/>
          <bgColor rgb="FFF7B8B3"/>
        </patternFill>
      </fill>
      <alignment horizontal="left" vertical="bottom" textRotation="0" wrapText="1" indent="0" justifyLastLine="0" shrinkToFit="0" readingOrder="0"/>
      <border diagonalUp="0" diagonalDown="0" outline="0">
        <left/>
        <right style="medium">
          <color indexed="64"/>
        </right>
        <top style="medium">
          <color indexed="64"/>
        </top>
        <bottom style="medium">
          <color indexed="64"/>
        </bottom>
      </border>
    </dxf>
    <dxf>
      <border outline="0">
        <left style="medium">
          <color rgb="FF000000"/>
        </left>
        <right style="double">
          <color rgb="FF000000"/>
        </right>
      </border>
    </dxf>
    <dxf>
      <alignment horizontal="left" vertical="bottom" textRotation="0" wrapText="1" indent="0" justifyLastLine="0" shrinkToFit="0" readingOrder="0"/>
    </dxf>
    <dxf>
      <border>
        <bottom style="medium">
          <color indexed="64"/>
        </bottom>
      </border>
    </dxf>
    <dxf>
      <font>
        <b/>
        <i val="0"/>
        <strike val="0"/>
        <condense val="0"/>
        <extend val="0"/>
        <outline val="0"/>
        <shadow val="0"/>
        <u val="none"/>
        <vertAlign val="baseline"/>
        <sz val="12"/>
        <color theme="1"/>
        <name val="Arial"/>
        <family val="2"/>
        <scheme val="minor"/>
      </font>
      <fill>
        <patternFill patternType="solid">
          <fgColor indexed="64"/>
          <bgColor theme="0" tint="-0.14999847407452621"/>
        </patternFill>
      </fill>
      <alignment horizontal="left"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Arial"/>
        <family val="2"/>
        <scheme val="minor"/>
      </font>
      <numFmt numFmtId="0" formatCode="General"/>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vertical/>
      </border>
    </dxf>
    <dxf>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minor"/>
      </font>
      <numFmt numFmtId="0" formatCode="General"/>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border>
    </dxf>
    <dxf>
      <alignment horizontal="left" vertical="bottom" textRotation="0" wrapText="1" indent="0" justifyLastLine="0" shrinkToFit="0" readingOrder="0"/>
      <border diagonalUp="0" diagonalDown="0">
        <left style="thick">
          <color indexed="64"/>
        </left>
        <right/>
        <top style="medium">
          <color indexed="64"/>
        </top>
        <bottom style="medium">
          <color indexed="64"/>
        </bottom>
      </border>
    </dxf>
    <dxf>
      <font>
        <sz val="12"/>
        <color auto="1"/>
      </font>
      <numFmt numFmtId="0" formatCode="General"/>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border>
    </dxf>
    <dxf>
      <alignment horizontal="left" vertical="bottom" textRotation="0" wrapText="1" indent="0" justifyLastLine="0" shrinkToFit="0" readingOrder="0"/>
      <border diagonalUp="0" diagonalDown="0">
        <left style="medium">
          <color indexed="64"/>
        </left>
        <right/>
        <top style="medium">
          <color indexed="64"/>
        </top>
        <bottom style="medium">
          <color indexed="64"/>
        </bottom>
      </border>
    </dxf>
    <dxf>
      <font>
        <sz val="12"/>
        <color auto="1"/>
      </font>
      <numFmt numFmtId="0" formatCode="General"/>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border>
    </dxf>
    <dxf>
      <alignment horizontal="left" vertical="bottom" textRotation="0" wrapText="1" indent="0" justifyLastLine="0" shrinkToFit="0" readingOrder="0"/>
      <border diagonalUp="0" diagonalDown="0">
        <left style="medium">
          <color indexed="64"/>
        </left>
        <right style="medium">
          <color indexed="64"/>
        </right>
        <top style="medium">
          <color indexed="64"/>
        </top>
        <bottom/>
      </border>
    </dxf>
    <dxf>
      <font>
        <b val="0"/>
        <i val="0"/>
        <strike val="0"/>
        <condense val="0"/>
        <extend val="0"/>
        <outline val="0"/>
        <shadow val="0"/>
        <u val="none"/>
        <vertAlign val="baseline"/>
        <sz val="14"/>
        <color theme="1"/>
        <name val="Arial"/>
        <family val="2"/>
        <scheme val="minor"/>
      </font>
      <fill>
        <patternFill patternType="solid">
          <fgColor indexed="64"/>
          <bgColor rgb="FFF7B8B3"/>
        </patternFill>
      </fill>
      <alignment horizontal="left" vertical="bottom" textRotation="0" indent="0" justifyLastLine="0" shrinkToFit="0" readingOrder="0"/>
      <border diagonalUp="0" diagonalDown="0">
        <left/>
        <right style="medium">
          <color indexed="64"/>
        </right>
        <top style="medium">
          <color indexed="64"/>
        </top>
        <bottom style="medium">
          <color indexed="64"/>
        </bottom>
      </border>
    </dxf>
    <dxf>
      <border outline="0">
        <left style="medium">
          <color rgb="FF000000"/>
        </left>
        <right style="double">
          <color rgb="FF000000"/>
        </right>
      </border>
    </dxf>
    <dxf>
      <alignment horizontal="left" vertical="bottom" textRotation="0" indent="0" justifyLastLine="0" shrinkToFit="0" readingOrder="0"/>
    </dxf>
    <dxf>
      <border>
        <bottom style="medium">
          <color indexed="64"/>
        </bottom>
      </border>
    </dxf>
    <dxf>
      <font>
        <b/>
        <i val="0"/>
        <strike val="0"/>
        <condense val="0"/>
        <extend val="0"/>
        <outline val="0"/>
        <shadow val="0"/>
        <u val="none"/>
        <vertAlign val="baseline"/>
        <sz val="12"/>
        <color theme="1"/>
        <name val="Arial"/>
        <family val="2"/>
        <scheme val="minor"/>
      </font>
      <fill>
        <patternFill patternType="solid">
          <fgColor indexed="64"/>
          <bgColor theme="0" tint="-0.14999847407452621"/>
        </patternFill>
      </fill>
      <alignment horizontal="left" vertical="bottom" textRotation="0" wrapText="1" indent="0" justifyLastLine="0" shrinkToFit="0" readingOrder="0"/>
      <border diagonalUp="0" diagonalDown="0">
        <left style="medium">
          <color indexed="64"/>
        </left>
        <right style="medium">
          <color indexed="64"/>
        </right>
        <top/>
        <bottom/>
        <vertical style="medium">
          <color indexed="64"/>
        </vertical>
      </border>
    </dxf>
    <dxf>
      <font>
        <b val="0"/>
        <i val="0"/>
        <strike val="0"/>
        <condense val="0"/>
        <extend val="0"/>
        <outline val="0"/>
        <shadow val="0"/>
        <u val="none"/>
        <vertAlign val="baseline"/>
        <sz val="12"/>
        <color auto="1"/>
        <name val="Arial"/>
        <family val="2"/>
        <scheme val="minor"/>
      </font>
      <numFmt numFmtId="0" formatCode="General"/>
      <alignment horizontal="left" vertical="bottom" textRotation="0" wrapText="1" indent="0" justifyLastLine="0" shrinkToFit="0" readingOrder="0"/>
      <border diagonalUp="0" diagonalDown="0" outline="0">
        <left style="medium">
          <color indexed="64"/>
        </left>
        <right style="thick">
          <color indexed="64"/>
        </right>
        <top style="medium">
          <color indexed="64"/>
        </top>
        <bottom style="medium">
          <color indexed="64"/>
        </bottom>
      </border>
    </dxf>
    <dxf>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minor"/>
      </font>
      <numFmt numFmtId="0" formatCode="General"/>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sz val="12"/>
        <color auto="1"/>
      </font>
      <alignment horizontal="left" vertical="bottom" textRotation="0" wrapText="1" indent="0" justifyLastLine="0" shrinkToFit="0" readingOrder="0"/>
      <border diagonalUp="0" diagonalDown="0">
        <left style="thick">
          <color indexed="64"/>
        </left>
        <right style="medium">
          <color indexed="64"/>
        </right>
        <top style="medium">
          <color indexed="64"/>
        </top>
        <bottom style="medium">
          <color indexed="64"/>
        </bottom>
        <vertical/>
        <horizontal style="medium">
          <color indexed="64"/>
        </horizontal>
      </border>
    </dxf>
    <dxf>
      <font>
        <sz val="12"/>
        <color auto="1"/>
      </font>
      <numFmt numFmtId="0" formatCode="General"/>
      <alignment horizontal="left" vertical="bottom" textRotation="0" wrapText="1" indent="0" justifyLastLine="0" shrinkToFit="0" readingOrder="0"/>
      <border diagonalUp="0" diagonalDown="0">
        <left style="medium">
          <color indexed="64"/>
        </left>
        <right style="medium">
          <color indexed="64"/>
        </right>
        <top style="medium">
          <color indexed="64"/>
        </top>
        <bottom/>
        <vertical/>
        <horizontal/>
      </border>
    </dxf>
    <dxf>
      <alignment horizontal="left" vertical="bottom" textRotation="0" wrapText="1" indent="0" justifyLastLine="0" shrinkToFit="0" readingOrder="0"/>
      <border diagonalUp="0" diagonalDown="0" outline="0">
        <left style="medium">
          <color indexed="64"/>
        </left>
        <right/>
        <top style="medium">
          <color indexed="64"/>
        </top>
        <bottom style="medium">
          <color indexed="64"/>
        </bottom>
      </border>
    </dxf>
    <dxf>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border>
    </dxf>
    <dxf>
      <alignment horizontal="left" vertical="bottom" textRotation="0" wrapText="1" indent="0" justifyLastLine="0" shrinkToFit="0" readingOrder="0"/>
      <border diagonalUp="0" diagonalDown="0" outline="0">
        <left style="medium">
          <color indexed="64"/>
        </left>
        <right style="medium">
          <color indexed="64"/>
        </right>
        <top style="medium">
          <color indexed="64"/>
        </top>
        <bottom/>
      </border>
    </dxf>
    <dxf>
      <font>
        <b val="0"/>
        <i val="0"/>
        <strike val="0"/>
        <condense val="0"/>
        <extend val="0"/>
        <outline val="0"/>
        <shadow val="0"/>
        <u val="none"/>
        <vertAlign val="baseline"/>
        <sz val="14"/>
        <color theme="1"/>
        <name val="Arial"/>
        <family val="2"/>
        <scheme val="minor"/>
      </font>
      <fill>
        <patternFill patternType="solid">
          <fgColor indexed="64"/>
          <bgColor rgb="FFF7B8B3"/>
        </patternFill>
      </fill>
      <alignment horizontal="left" vertical="bottom" textRotation="0" indent="0" justifyLastLine="0" shrinkToFit="0" readingOrder="0"/>
      <border diagonalUp="0" diagonalDown="0" outline="0">
        <left/>
        <right style="medium">
          <color indexed="64"/>
        </right>
        <top style="medium">
          <color indexed="64"/>
        </top>
        <bottom style="medium">
          <color indexed="64"/>
        </bottom>
      </border>
    </dxf>
    <dxf>
      <border outline="0">
        <left style="medium">
          <color rgb="FF000000"/>
        </left>
        <right style="double">
          <color rgb="FF000000"/>
        </right>
      </border>
    </dxf>
    <dxf>
      <alignment horizontal="left" vertical="bottom" textRotation="0" indent="0" justifyLastLine="0" shrinkToFit="0" readingOrder="0"/>
    </dxf>
    <dxf>
      <border>
        <bottom style="medium">
          <color indexed="64"/>
        </bottom>
      </border>
    </dxf>
    <dxf>
      <font>
        <b/>
        <i val="0"/>
        <strike val="0"/>
        <condense val="0"/>
        <extend val="0"/>
        <outline val="0"/>
        <shadow val="0"/>
        <u val="none"/>
        <vertAlign val="baseline"/>
        <sz val="12"/>
        <color theme="1"/>
        <name val="Arial"/>
        <family val="2"/>
        <scheme val="minor"/>
      </font>
      <fill>
        <patternFill patternType="solid">
          <fgColor indexed="64"/>
          <bgColor theme="0" tint="-0.14999847407452621"/>
        </patternFill>
      </fill>
      <alignment horizontal="left" vertical="bottom" textRotation="0" wrapText="1" indent="0" justifyLastLine="0" shrinkToFit="0" readingOrder="0"/>
      <border diagonalUp="0" diagonalDown="0">
        <left style="medium">
          <color indexed="64"/>
        </left>
        <right style="medium">
          <color indexed="64"/>
        </right>
        <top/>
        <bottom/>
        <vertical style="medium">
          <color indexed="64"/>
        </vertical>
        <horizontal/>
      </border>
    </dxf>
    <dxf>
      <font>
        <b val="0"/>
        <i val="0"/>
        <strike val="0"/>
        <condense val="0"/>
        <extend val="0"/>
        <outline val="0"/>
        <shadow val="0"/>
        <u val="none"/>
        <vertAlign val="baseline"/>
        <sz val="12"/>
        <color auto="1"/>
        <name val="Arial"/>
        <family val="2"/>
        <scheme val="minor"/>
      </font>
      <numFmt numFmtId="0" formatCode="General"/>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2"/>
        <color auto="1"/>
        <name val="Arial"/>
        <family val="2"/>
        <scheme val="minor"/>
      </font>
      <numFmt numFmtId="0" formatCode="General"/>
      <fill>
        <patternFill patternType="solid">
          <fgColor indexed="64"/>
          <bgColor theme="0"/>
        </patternFill>
      </fill>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alignment horizontal="left" vertical="bottom" textRotation="0" wrapText="1" indent="0" justifyLastLine="0" shrinkToFit="0" readingOrder="0"/>
      <border diagonalUp="0" diagonalDown="0">
        <left style="thick">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u val="none"/>
        <vertAlign val="baseline"/>
        <sz val="12"/>
        <color auto="1"/>
        <name val="Arial"/>
        <family val="2"/>
        <scheme val="minor"/>
      </font>
      <numFmt numFmtId="0" formatCode="General"/>
      <fill>
        <patternFill patternType="solid">
          <fgColor indexed="64"/>
          <bgColor theme="0"/>
        </patternFill>
      </fill>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2"/>
        <color auto="1"/>
        <name val="Arial"/>
        <family val="2"/>
        <scheme val="minor"/>
      </font>
      <fill>
        <patternFill patternType="none">
          <fgColor indexed="64"/>
          <bgColor auto="1"/>
        </patternFill>
      </fill>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u val="none"/>
        <vertAlign val="baseline"/>
        <sz val="12"/>
        <color auto="1"/>
        <name val="Arial"/>
        <family val="2"/>
        <scheme val="minor"/>
      </font>
      <numFmt numFmtId="0" formatCode="General"/>
      <fill>
        <patternFill>
          <fgColor indexed="64"/>
          <bgColor theme="0"/>
        </patternFill>
      </fill>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alignment horizontal="left" vertical="bottom"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theme="1"/>
        <name val="Arial"/>
        <family val="2"/>
        <scheme val="minor"/>
      </font>
      <fill>
        <patternFill patternType="solid">
          <fgColor indexed="64"/>
          <bgColor rgb="FFF7B8B3"/>
        </patternFill>
      </fill>
      <alignment horizontal="left" vertical="bottom" textRotation="0" wrapText="1" indent="0" justifyLastLine="0" shrinkToFit="0" readingOrder="0"/>
      <border diagonalUp="0" diagonalDown="0">
        <left/>
        <right style="medium">
          <color indexed="64"/>
        </right>
        <top style="medium">
          <color indexed="64"/>
        </top>
        <bottom style="medium">
          <color indexed="64"/>
        </bottom>
        <vertical style="medium">
          <color indexed="64"/>
        </vertical>
        <horizontal style="medium">
          <color indexed="64"/>
        </horizontal>
      </border>
    </dxf>
    <dxf>
      <border outline="0">
        <left style="medium">
          <color indexed="64"/>
        </left>
        <right style="double">
          <color indexed="64"/>
        </right>
      </border>
    </dxf>
    <dxf>
      <alignment horizontal="left" vertical="bottom" textRotation="0" wrapText="1" indent="0" justifyLastLine="0" shrinkToFit="0" readingOrder="0"/>
    </dxf>
    <dxf>
      <border>
        <bottom style="medium">
          <color indexed="64"/>
        </bottom>
      </border>
    </dxf>
    <dxf>
      <font>
        <b/>
        <i val="0"/>
        <strike val="0"/>
        <condense val="0"/>
        <extend val="0"/>
        <outline val="0"/>
        <shadow val="0"/>
        <u val="none"/>
        <vertAlign val="baseline"/>
        <sz val="12"/>
        <color theme="1"/>
        <name val="Arial"/>
        <family val="2"/>
        <scheme val="minor"/>
      </font>
      <fill>
        <patternFill patternType="solid">
          <fgColor indexed="64"/>
          <bgColor theme="0" tint="-0.14999847407452621"/>
        </patternFill>
      </fill>
      <alignment horizontal="general" vertical="bottom" textRotation="0" wrapText="1" indent="0" justifyLastLine="0" shrinkToFit="0" readingOrder="0"/>
      <border diagonalUp="0" diagonalDown="0">
        <left style="medium">
          <color indexed="64"/>
        </left>
        <right style="medium">
          <color indexed="64"/>
        </right>
        <top/>
        <bottom/>
        <vertical style="medium">
          <color indexed="64"/>
        </vertical>
        <horizontal style="medium">
          <color indexed="64"/>
        </horizontal>
      </border>
    </dxf>
    <dxf>
      <fill>
        <patternFill patternType="none">
          <bgColor auto="1"/>
        </patternFill>
      </fill>
    </dxf>
    <dxf>
      <font>
        <b/>
        <color theme="1"/>
      </font>
      <border>
        <bottom style="thin">
          <color rgb="FFD9D9D9"/>
        </bottom>
        <vertical/>
        <horizontal/>
      </border>
    </dxf>
    <dxf>
      <font>
        <color theme="1"/>
      </font>
      <border>
        <left style="thin">
          <color theme="4" tint="0.39994506668294322"/>
        </left>
        <right style="thin">
          <color theme="4" tint="0.39994506668294322"/>
        </right>
        <top style="thin">
          <color theme="4" tint="0.39994506668294322"/>
        </top>
        <bottom style="thin">
          <color theme="4" tint="0.39994506668294322"/>
        </bottom>
        <vertical/>
        <horizontal/>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s>
  <tableStyles count="3" defaultTableStyle="ConstructionBidSheet_table1" defaultPivotStyle="PivotStyleLight16">
    <tableStyle name="ConstructionBidSheet_table1" pivot="0" count="6" xr9:uid="{00000000-0011-0000-FFFF-FFFF00000000}">
      <tableStyleElement type="wholeTable" dxfId="204"/>
      <tableStyleElement type="headerRow" dxfId="203"/>
      <tableStyleElement type="totalRow" dxfId="202"/>
      <tableStyleElement type="lastColumn" dxfId="201"/>
      <tableStyleElement type="lastHeaderCell" dxfId="200"/>
      <tableStyleElement type="lastTotalCell" dxfId="199"/>
    </tableStyle>
    <tableStyle name="EDU6046" pivot="0" table="0" count="10" xr9:uid="{D5DFCA66-AE3D-44F1-9AC4-42F2581BAFCC}">
      <tableStyleElement type="wholeTable" dxfId="198"/>
      <tableStyleElement type="headerRow" dxfId="197"/>
    </tableStyle>
    <tableStyle name="Style de tableau 1" pivot="0" count="1" xr9:uid="{7E3DC39B-93AA-4296-B0CA-73C8C8D8BE7D}">
      <tableStyleElement type="wholeTable" dxfId="196"/>
    </tableStyle>
  </tableStyles>
  <colors>
    <mruColors>
      <color rgb="FF74B4B9"/>
      <color rgb="FF00FF00"/>
      <color rgb="FFC0EAED"/>
      <color rgb="FF595959"/>
      <color rgb="FF999999"/>
      <color rgb="FFCFCECE"/>
      <color rgb="FFC1C2DA"/>
      <color rgb="FFF7B8B3"/>
      <color rgb="FFD9D9D9"/>
      <color rgb="FFF1D276"/>
    </mruColors>
  </colors>
  <extLst>
    <ext xmlns:x14="http://schemas.microsoft.com/office/spreadsheetml/2009/9/main" uri="{46F421CA-312F-682f-3DD2-61675219B42D}">
      <x14:dxfs count="8">
        <dxf>
          <font>
            <sz val="11"/>
            <color rgb="FF000000"/>
            <name val="Arial"/>
            <family val="2"/>
            <scheme val="minor"/>
          </font>
          <fill>
            <gradientFill degree="90">
              <stop position="0">
                <color rgb="FFC0EAED"/>
              </stop>
              <stop position="1">
                <color rgb="FFFCF7E0"/>
              </stop>
            </gradientFill>
          </fill>
          <border>
            <left style="thin">
              <color rgb="FF999999"/>
            </left>
            <right style="thin">
              <color rgb="FF999999"/>
            </right>
            <top style="thin">
              <color rgb="FF999999"/>
            </top>
            <bottom style="thin">
              <color rgb="FF999999"/>
            </bottom>
            <vertical/>
            <horizontal/>
          </border>
        </dxf>
        <dxf>
          <font>
            <sz val="9"/>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1"/>
            <color rgb="FF000000"/>
            <name val="Arial"/>
            <family val="2"/>
            <scheme val="minor"/>
          </font>
          <fill>
            <gradientFill degree="90">
              <stop position="0">
                <color rgb="FFC0EAED"/>
              </stop>
              <stop position="1">
                <color rgb="FFFCF7E0"/>
              </stop>
            </gradientFill>
          </fill>
          <border>
            <left style="thin">
              <color rgb="FF999999"/>
            </left>
            <right style="thin">
              <color rgb="FF999999"/>
            </right>
            <top style="thin">
              <color rgb="FF999999"/>
            </top>
            <bottom style="thin">
              <color rgb="FF999999"/>
            </bottom>
            <vertical/>
            <horizontal/>
          </border>
        </dxf>
        <dxf>
          <font>
            <sz val="11"/>
            <color rgb="FF000000"/>
            <name val="Arial"/>
            <family val="2"/>
            <scheme val="minor"/>
          </font>
          <fill>
            <gradientFill degree="90">
              <stop position="0">
                <color rgb="FFC0EAED"/>
              </stop>
              <stop position="1">
                <color rgb="FFFCF7E0"/>
              </stop>
            </gradientFill>
          </fill>
          <border>
            <left style="thin">
              <color rgb="FF999999"/>
            </left>
            <right style="thin">
              <color rgb="FF999999"/>
            </right>
            <top style="thin">
              <color rgb="FF999999"/>
            </top>
            <bottom style="thin">
              <color rgb="FF999999"/>
            </bottom>
            <vertical/>
            <horizontal/>
          </border>
        </dxf>
        <dxf>
          <font>
            <sz val="11"/>
            <color rgb="FF828282"/>
            <name val="Arial"/>
            <family val="2"/>
            <scheme val="minor"/>
          </font>
          <fill>
            <patternFill patternType="solid">
              <fgColor theme="4" tint="0.79995117038483843"/>
              <bgColor rgb="FFC0EAED"/>
            </patternFill>
          </fill>
          <border>
            <left style="thin">
              <color rgb="FFCCCCCC"/>
            </left>
            <right style="thin">
              <color rgb="FFCCCCCC"/>
            </right>
            <top style="thin">
              <color rgb="FFCCCCCC"/>
            </top>
            <bottom style="thin">
              <color rgb="FFCCCCCC"/>
            </bottom>
            <vertical/>
            <horizontal/>
          </border>
        </dxf>
        <dxf>
          <font>
            <sz val="11"/>
            <color rgb="FF000000"/>
            <name val="Arial"/>
            <family val="2"/>
            <scheme val="minor"/>
          </font>
          <fill>
            <patternFill patternType="solid">
              <fgColor rgb="FFC0EAED"/>
              <bgColor rgb="FFC0EAED"/>
            </patternFill>
          </fill>
          <border>
            <left style="thin">
              <color rgb="FF999999"/>
            </left>
            <right style="thin">
              <color rgb="FF999999"/>
            </right>
            <top style="thin">
              <color rgb="FF999999"/>
            </top>
            <bottom style="thin">
              <color rgb="FF999999"/>
            </bottom>
            <vertical/>
            <horizontal/>
          </border>
        </dxf>
        <dxf>
          <font>
            <sz val="11"/>
            <color rgb="FF828282"/>
            <name val="Arial"/>
            <family val="2"/>
            <scheme val="minor"/>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sz val="11"/>
            <color rgb="FF000000"/>
            <name val="Arial"/>
            <family val="2"/>
            <scheme val="minor"/>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EDU6046">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07/relationships/slicerCache" Target="slicerCaches/slicerCache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A" sz="1400" b="0" i="0" u="none" strike="noStrike" kern="1200" spc="0" baseline="0">
                <a:solidFill>
                  <a:srgbClr val="000000">
                    <a:lumMod val="65000"/>
                    <a:lumOff val="35000"/>
                  </a:srgbClr>
                </a:solidFill>
              </a:rPr>
              <a:t>Bilan formatif-sommatif (en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tx>
            <c:strRef>
              <c:f>Feuil_M!$L$42</c:f>
              <c:strCache>
                <c:ptCount val="1"/>
                <c:pt idx="0">
                  <c:v>Pers.enseignante Formatif F</c:v>
                </c:pt>
              </c:strCache>
            </c:strRef>
          </c:tx>
          <c:spPr>
            <a:solidFill>
              <a:srgbClr val="F7B8B3"/>
            </a:solidFill>
            <a:ln>
              <a:solidFill>
                <a:srgbClr val="F7B8B3"/>
              </a:solidFill>
            </a:ln>
            <a:effectLst/>
          </c:spPr>
          <c:invertIfNegative val="0"/>
          <c:cat>
            <c:strRef>
              <c:f>Feuil_M!$J$43:$J$55</c:f>
              <c:strCache>
                <c:ptCount val="13"/>
                <c:pt idx="0">
                  <c:v>Compétence 01</c:v>
                </c:pt>
                <c:pt idx="1">
                  <c:v>Compétence 02</c:v>
                </c:pt>
                <c:pt idx="2">
                  <c:v>Compétence 03</c:v>
                </c:pt>
                <c:pt idx="3">
                  <c:v>Compétence 04</c:v>
                </c:pt>
                <c:pt idx="4">
                  <c:v>Compétence 05</c:v>
                </c:pt>
                <c:pt idx="5">
                  <c:v>Compétence 06</c:v>
                </c:pt>
                <c:pt idx="6">
                  <c:v>Compétence 07</c:v>
                </c:pt>
                <c:pt idx="7">
                  <c:v>Compétence 08</c:v>
                </c:pt>
                <c:pt idx="8">
                  <c:v>Compétence 09</c:v>
                </c:pt>
                <c:pt idx="9">
                  <c:v>Compétence 10</c:v>
                </c:pt>
                <c:pt idx="10">
                  <c:v>Compétence 11</c:v>
                </c:pt>
                <c:pt idx="11">
                  <c:v>Compétence 12</c:v>
                </c:pt>
                <c:pt idx="12">
                  <c:v>Compétence 13</c:v>
                </c:pt>
              </c:strCache>
            </c:strRef>
          </c:cat>
          <c:val>
            <c:numRef>
              <c:f>Feuil_M!$L$43:$L$55</c:f>
              <c:numCache>
                <c:formatCode>0.0</c:formatCode>
                <c:ptCount val="13"/>
                <c:pt idx="0">
                  <c:v>0</c:v>
                </c:pt>
                <c:pt idx="1">
                  <c:v>0</c:v>
                </c:pt>
                <c:pt idx="2">
                  <c:v>#N/A</c:v>
                </c:pt>
                <c:pt idx="3">
                  <c:v>#N/A</c:v>
                </c:pt>
                <c:pt idx="4">
                  <c:v>#N/A</c:v>
                </c:pt>
                <c:pt idx="5">
                  <c:v>#N/A</c:v>
                </c:pt>
                <c:pt idx="6">
                  <c:v>#N/A</c:v>
                </c:pt>
                <c:pt idx="7">
                  <c:v>#N/A</c:v>
                </c:pt>
                <c:pt idx="8">
                  <c:v>#N/A</c:v>
                </c:pt>
                <c:pt idx="9">
                  <c:v>#N/A</c:v>
                </c:pt>
                <c:pt idx="10">
                  <c:v>#N/A</c:v>
                </c:pt>
                <c:pt idx="11">
                  <c:v>#N/A</c:v>
                </c:pt>
                <c:pt idx="12">
                  <c:v>#N/A</c:v>
                </c:pt>
              </c:numCache>
            </c:numRef>
          </c:val>
          <c:extLst>
            <c:ext xmlns:c16="http://schemas.microsoft.com/office/drawing/2014/chart" uri="{C3380CC4-5D6E-409C-BE32-E72D297353CC}">
              <c16:uniqueId val="{00000000-6787-461D-B79C-CCDA42F5883A}"/>
            </c:ext>
          </c:extLst>
        </c:ser>
        <c:ser>
          <c:idx val="1"/>
          <c:order val="1"/>
          <c:tx>
            <c:strRef>
              <c:f>Feuil_M!$M$42</c:f>
              <c:strCache>
                <c:ptCount val="1"/>
                <c:pt idx="0">
                  <c:v>Pers.enseignante Formatif c1</c:v>
                </c:pt>
              </c:strCache>
            </c:strRef>
          </c:tx>
          <c:spPr>
            <a:solidFill>
              <a:srgbClr val="C1C2DA"/>
            </a:solidFill>
            <a:ln>
              <a:solidFill>
                <a:srgbClr val="C1C2DA"/>
              </a:solidFill>
            </a:ln>
            <a:effectLst/>
          </c:spPr>
          <c:invertIfNegative val="0"/>
          <c:cat>
            <c:strRef>
              <c:f>Feuil_M!$J$43:$J$55</c:f>
              <c:strCache>
                <c:ptCount val="13"/>
                <c:pt idx="0">
                  <c:v>Compétence 01</c:v>
                </c:pt>
                <c:pt idx="1">
                  <c:v>Compétence 02</c:v>
                </c:pt>
                <c:pt idx="2">
                  <c:v>Compétence 03</c:v>
                </c:pt>
                <c:pt idx="3">
                  <c:v>Compétence 04</c:v>
                </c:pt>
                <c:pt idx="4">
                  <c:v>Compétence 05</c:v>
                </c:pt>
                <c:pt idx="5">
                  <c:v>Compétence 06</c:v>
                </c:pt>
                <c:pt idx="6">
                  <c:v>Compétence 07</c:v>
                </c:pt>
                <c:pt idx="7">
                  <c:v>Compétence 08</c:v>
                </c:pt>
                <c:pt idx="8">
                  <c:v>Compétence 09</c:v>
                </c:pt>
                <c:pt idx="9">
                  <c:v>Compétence 10</c:v>
                </c:pt>
                <c:pt idx="10">
                  <c:v>Compétence 11</c:v>
                </c:pt>
                <c:pt idx="11">
                  <c:v>Compétence 12</c:v>
                </c:pt>
                <c:pt idx="12">
                  <c:v>Compétence 13</c:v>
                </c:pt>
              </c:strCache>
            </c:strRef>
          </c:cat>
          <c:val>
            <c:numRef>
              <c:f>Feuil_M!$M$43:$M$55</c:f>
              <c:numCache>
                <c:formatCode>0.0</c:formatCode>
                <c:ptCount val="13"/>
                <c:pt idx="0">
                  <c:v>#N/A</c:v>
                </c:pt>
                <c:pt idx="1">
                  <c:v>#N/A</c:v>
                </c:pt>
                <c:pt idx="2">
                  <c:v>0</c:v>
                </c:pt>
                <c:pt idx="3">
                  <c:v>0</c:v>
                </c:pt>
                <c:pt idx="4">
                  <c:v>0</c:v>
                </c:pt>
                <c:pt idx="5">
                  <c:v>0</c:v>
                </c:pt>
                <c:pt idx="6">
                  <c:v>0</c:v>
                </c:pt>
                <c:pt idx="7">
                  <c:v>0</c:v>
                </c:pt>
                <c:pt idx="8">
                  <c:v>#N/A</c:v>
                </c:pt>
                <c:pt idx="9">
                  <c:v>#N/A</c:v>
                </c:pt>
                <c:pt idx="10">
                  <c:v>#N/A</c:v>
                </c:pt>
                <c:pt idx="11">
                  <c:v>#N/A</c:v>
                </c:pt>
                <c:pt idx="12">
                  <c:v>#N/A</c:v>
                </c:pt>
              </c:numCache>
            </c:numRef>
          </c:val>
          <c:extLst>
            <c:ext xmlns:c16="http://schemas.microsoft.com/office/drawing/2014/chart" uri="{C3380CC4-5D6E-409C-BE32-E72D297353CC}">
              <c16:uniqueId val="{00000001-6787-461D-B79C-CCDA42F5883A}"/>
            </c:ext>
          </c:extLst>
        </c:ser>
        <c:ser>
          <c:idx val="2"/>
          <c:order val="2"/>
          <c:tx>
            <c:strRef>
              <c:f>Feuil_M!$N$42</c:f>
              <c:strCache>
                <c:ptCount val="1"/>
                <c:pt idx="0">
                  <c:v>Pers.enseignante Formatif c2</c:v>
                </c:pt>
              </c:strCache>
            </c:strRef>
          </c:tx>
          <c:spPr>
            <a:solidFill>
              <a:srgbClr val="B1CCE6"/>
            </a:solidFill>
            <a:ln>
              <a:solidFill>
                <a:srgbClr val="B1CCE6"/>
              </a:solidFill>
            </a:ln>
            <a:effectLst/>
          </c:spPr>
          <c:invertIfNegative val="0"/>
          <c:cat>
            <c:strRef>
              <c:f>Feuil_M!$J$43:$J$55</c:f>
              <c:strCache>
                <c:ptCount val="13"/>
                <c:pt idx="0">
                  <c:v>Compétence 01</c:v>
                </c:pt>
                <c:pt idx="1">
                  <c:v>Compétence 02</c:v>
                </c:pt>
                <c:pt idx="2">
                  <c:v>Compétence 03</c:v>
                </c:pt>
                <c:pt idx="3">
                  <c:v>Compétence 04</c:v>
                </c:pt>
                <c:pt idx="4">
                  <c:v>Compétence 05</c:v>
                </c:pt>
                <c:pt idx="5">
                  <c:v>Compétence 06</c:v>
                </c:pt>
                <c:pt idx="6">
                  <c:v>Compétence 07</c:v>
                </c:pt>
                <c:pt idx="7">
                  <c:v>Compétence 08</c:v>
                </c:pt>
                <c:pt idx="8">
                  <c:v>Compétence 09</c:v>
                </c:pt>
                <c:pt idx="9">
                  <c:v>Compétence 10</c:v>
                </c:pt>
                <c:pt idx="10">
                  <c:v>Compétence 11</c:v>
                </c:pt>
                <c:pt idx="11">
                  <c:v>Compétence 12</c:v>
                </c:pt>
                <c:pt idx="12">
                  <c:v>Compétence 13</c:v>
                </c:pt>
              </c:strCache>
            </c:strRef>
          </c:cat>
          <c:val>
            <c:numRef>
              <c:f>Feuil_M!$N$43:$N$55</c:f>
              <c:numCache>
                <c:formatCode>0.0</c:formatCode>
                <c:ptCount val="13"/>
                <c:pt idx="0">
                  <c:v>#N/A</c:v>
                </c:pt>
                <c:pt idx="1">
                  <c:v>#N/A</c:v>
                </c:pt>
                <c:pt idx="2">
                  <c:v>#N/A</c:v>
                </c:pt>
                <c:pt idx="3">
                  <c:v>#N/A</c:v>
                </c:pt>
                <c:pt idx="4">
                  <c:v>#N/A</c:v>
                </c:pt>
                <c:pt idx="5">
                  <c:v>#N/A</c:v>
                </c:pt>
                <c:pt idx="6">
                  <c:v>#N/A</c:v>
                </c:pt>
                <c:pt idx="7">
                  <c:v>#N/A</c:v>
                </c:pt>
                <c:pt idx="8">
                  <c:v>0</c:v>
                </c:pt>
                <c:pt idx="9">
                  <c:v>0</c:v>
                </c:pt>
                <c:pt idx="10">
                  <c:v>#N/A</c:v>
                </c:pt>
                <c:pt idx="11">
                  <c:v>#N/A</c:v>
                </c:pt>
                <c:pt idx="12">
                  <c:v>#N/A</c:v>
                </c:pt>
              </c:numCache>
            </c:numRef>
          </c:val>
          <c:extLst>
            <c:ext xmlns:c16="http://schemas.microsoft.com/office/drawing/2014/chart" uri="{C3380CC4-5D6E-409C-BE32-E72D297353CC}">
              <c16:uniqueId val="{00000002-6787-461D-B79C-CCDA42F5883A}"/>
            </c:ext>
          </c:extLst>
        </c:ser>
        <c:ser>
          <c:idx val="3"/>
          <c:order val="3"/>
          <c:tx>
            <c:strRef>
              <c:f>Feuil_M!$O$42</c:f>
              <c:strCache>
                <c:ptCount val="1"/>
                <c:pt idx="0">
                  <c:v>Pers.enseignante Formatif c3</c:v>
                </c:pt>
              </c:strCache>
            </c:strRef>
          </c:tx>
          <c:spPr>
            <a:solidFill>
              <a:srgbClr val="C0EAED"/>
            </a:solidFill>
            <a:ln>
              <a:solidFill>
                <a:srgbClr val="C0EAED"/>
              </a:solidFill>
            </a:ln>
            <a:effectLst/>
          </c:spPr>
          <c:invertIfNegative val="0"/>
          <c:cat>
            <c:strRef>
              <c:f>Feuil_M!$J$43:$J$55</c:f>
              <c:strCache>
                <c:ptCount val="13"/>
                <c:pt idx="0">
                  <c:v>Compétence 01</c:v>
                </c:pt>
                <c:pt idx="1">
                  <c:v>Compétence 02</c:v>
                </c:pt>
                <c:pt idx="2">
                  <c:v>Compétence 03</c:v>
                </c:pt>
                <c:pt idx="3">
                  <c:v>Compétence 04</c:v>
                </c:pt>
                <c:pt idx="4">
                  <c:v>Compétence 05</c:v>
                </c:pt>
                <c:pt idx="5">
                  <c:v>Compétence 06</c:v>
                </c:pt>
                <c:pt idx="6">
                  <c:v>Compétence 07</c:v>
                </c:pt>
                <c:pt idx="7">
                  <c:v>Compétence 08</c:v>
                </c:pt>
                <c:pt idx="8">
                  <c:v>Compétence 09</c:v>
                </c:pt>
                <c:pt idx="9">
                  <c:v>Compétence 10</c:v>
                </c:pt>
                <c:pt idx="10">
                  <c:v>Compétence 11</c:v>
                </c:pt>
                <c:pt idx="11">
                  <c:v>Compétence 12</c:v>
                </c:pt>
                <c:pt idx="12">
                  <c:v>Compétence 13</c:v>
                </c:pt>
              </c:strCache>
            </c:strRef>
          </c:cat>
          <c:val>
            <c:numRef>
              <c:f>Feuil_M!$O$43:$O$55</c:f>
              <c:numCache>
                <c:formatCode>0.0</c:formatCode>
                <c:ptCount val="13"/>
                <c:pt idx="0">
                  <c:v>#N/A</c:v>
                </c:pt>
                <c:pt idx="1">
                  <c:v>#N/A</c:v>
                </c:pt>
                <c:pt idx="2">
                  <c:v>#N/A</c:v>
                </c:pt>
                <c:pt idx="3">
                  <c:v>#N/A</c:v>
                </c:pt>
                <c:pt idx="4">
                  <c:v>#N/A</c:v>
                </c:pt>
                <c:pt idx="5">
                  <c:v>#N/A</c:v>
                </c:pt>
                <c:pt idx="6">
                  <c:v>#N/A</c:v>
                </c:pt>
                <c:pt idx="7">
                  <c:v>#N/A</c:v>
                </c:pt>
                <c:pt idx="8">
                  <c:v>#N/A</c:v>
                </c:pt>
                <c:pt idx="9">
                  <c:v>#N/A</c:v>
                </c:pt>
                <c:pt idx="10">
                  <c:v>0</c:v>
                </c:pt>
                <c:pt idx="11">
                  <c:v>#N/A</c:v>
                </c:pt>
                <c:pt idx="12">
                  <c:v>#N/A</c:v>
                </c:pt>
              </c:numCache>
            </c:numRef>
          </c:val>
          <c:extLst>
            <c:ext xmlns:c16="http://schemas.microsoft.com/office/drawing/2014/chart" uri="{C3380CC4-5D6E-409C-BE32-E72D297353CC}">
              <c16:uniqueId val="{00000003-6787-461D-B79C-CCDA42F5883A}"/>
            </c:ext>
          </c:extLst>
        </c:ser>
        <c:ser>
          <c:idx val="4"/>
          <c:order val="4"/>
          <c:tx>
            <c:strRef>
              <c:f>Feuil_M!$P$42</c:f>
              <c:strCache>
                <c:ptCount val="1"/>
                <c:pt idx="0">
                  <c:v>Pers.enseignante Formatif T</c:v>
                </c:pt>
              </c:strCache>
            </c:strRef>
          </c:tx>
          <c:spPr>
            <a:solidFill>
              <a:srgbClr val="CFCECE"/>
            </a:solidFill>
            <a:ln>
              <a:solidFill>
                <a:srgbClr val="CFCECE"/>
              </a:solidFill>
            </a:ln>
            <a:effectLst/>
          </c:spPr>
          <c:invertIfNegative val="0"/>
          <c:cat>
            <c:strRef>
              <c:f>Feuil_M!$J$43:$J$55</c:f>
              <c:strCache>
                <c:ptCount val="13"/>
                <c:pt idx="0">
                  <c:v>Compétence 01</c:v>
                </c:pt>
                <c:pt idx="1">
                  <c:v>Compétence 02</c:v>
                </c:pt>
                <c:pt idx="2">
                  <c:v>Compétence 03</c:v>
                </c:pt>
                <c:pt idx="3">
                  <c:v>Compétence 04</c:v>
                </c:pt>
                <c:pt idx="4">
                  <c:v>Compétence 05</c:v>
                </c:pt>
                <c:pt idx="5">
                  <c:v>Compétence 06</c:v>
                </c:pt>
                <c:pt idx="6">
                  <c:v>Compétence 07</c:v>
                </c:pt>
                <c:pt idx="7">
                  <c:v>Compétence 08</c:v>
                </c:pt>
                <c:pt idx="8">
                  <c:v>Compétence 09</c:v>
                </c:pt>
                <c:pt idx="9">
                  <c:v>Compétence 10</c:v>
                </c:pt>
                <c:pt idx="10">
                  <c:v>Compétence 11</c:v>
                </c:pt>
                <c:pt idx="11">
                  <c:v>Compétence 12</c:v>
                </c:pt>
                <c:pt idx="12">
                  <c:v>Compétence 13</c:v>
                </c:pt>
              </c:strCache>
            </c:strRef>
          </c:cat>
          <c:val>
            <c:numRef>
              <c:f>Feuil_M!$P$43:$P$55</c:f>
              <c:numCache>
                <c:formatCode>0.0</c:formatCode>
                <c:ptCount val="13"/>
                <c:pt idx="0">
                  <c:v>#N/A</c:v>
                </c:pt>
                <c:pt idx="1">
                  <c:v>#N/A</c:v>
                </c:pt>
                <c:pt idx="2">
                  <c:v>#N/A</c:v>
                </c:pt>
                <c:pt idx="3">
                  <c:v>#N/A</c:v>
                </c:pt>
                <c:pt idx="4">
                  <c:v>#N/A</c:v>
                </c:pt>
                <c:pt idx="5">
                  <c:v>#N/A</c:v>
                </c:pt>
                <c:pt idx="6">
                  <c:v>#N/A</c:v>
                </c:pt>
                <c:pt idx="7">
                  <c:v>#N/A</c:v>
                </c:pt>
                <c:pt idx="8">
                  <c:v>#N/A</c:v>
                </c:pt>
                <c:pt idx="9">
                  <c:v>#N/A</c:v>
                </c:pt>
                <c:pt idx="10">
                  <c:v>#N/A</c:v>
                </c:pt>
                <c:pt idx="11">
                  <c:v>0</c:v>
                </c:pt>
                <c:pt idx="12">
                  <c:v>0</c:v>
                </c:pt>
              </c:numCache>
            </c:numRef>
          </c:val>
          <c:extLst>
            <c:ext xmlns:c16="http://schemas.microsoft.com/office/drawing/2014/chart" uri="{C3380CC4-5D6E-409C-BE32-E72D297353CC}">
              <c16:uniqueId val="{00000004-6787-461D-B79C-CCDA42F5883A}"/>
            </c:ext>
          </c:extLst>
        </c:ser>
        <c:ser>
          <c:idx val="5"/>
          <c:order val="5"/>
          <c:tx>
            <c:strRef>
              <c:f>Feuil_M!$Q$42</c:f>
              <c:strCache>
                <c:ptCount val="1"/>
                <c:pt idx="0">
                  <c:v>Pers.encadrement Formatif F</c:v>
                </c:pt>
              </c:strCache>
            </c:strRef>
          </c:tx>
          <c:spPr>
            <a:pattFill prst="wave">
              <a:fgClr>
                <a:srgbClr val="F7B8B3"/>
              </a:fgClr>
              <a:bgClr>
                <a:schemeClr val="bg1"/>
              </a:bgClr>
            </a:pattFill>
            <a:ln>
              <a:solidFill>
                <a:srgbClr val="F7B8B3"/>
              </a:solidFill>
            </a:ln>
            <a:effectLst/>
          </c:spPr>
          <c:invertIfNegative val="0"/>
          <c:cat>
            <c:strRef>
              <c:f>Feuil_M!$J$43:$J$55</c:f>
              <c:strCache>
                <c:ptCount val="13"/>
                <c:pt idx="0">
                  <c:v>Compétence 01</c:v>
                </c:pt>
                <c:pt idx="1">
                  <c:v>Compétence 02</c:v>
                </c:pt>
                <c:pt idx="2">
                  <c:v>Compétence 03</c:v>
                </c:pt>
                <c:pt idx="3">
                  <c:v>Compétence 04</c:v>
                </c:pt>
                <c:pt idx="4">
                  <c:v>Compétence 05</c:v>
                </c:pt>
                <c:pt idx="5">
                  <c:v>Compétence 06</c:v>
                </c:pt>
                <c:pt idx="6">
                  <c:v>Compétence 07</c:v>
                </c:pt>
                <c:pt idx="7">
                  <c:v>Compétence 08</c:v>
                </c:pt>
                <c:pt idx="8">
                  <c:v>Compétence 09</c:v>
                </c:pt>
                <c:pt idx="9">
                  <c:v>Compétence 10</c:v>
                </c:pt>
                <c:pt idx="10">
                  <c:v>Compétence 11</c:v>
                </c:pt>
                <c:pt idx="11">
                  <c:v>Compétence 12</c:v>
                </c:pt>
                <c:pt idx="12">
                  <c:v>Compétence 13</c:v>
                </c:pt>
              </c:strCache>
            </c:strRef>
          </c:cat>
          <c:val>
            <c:numRef>
              <c:f>Feuil_M!$Q$43:$Q$55</c:f>
              <c:numCache>
                <c:formatCode>0.0</c:formatCode>
                <c:ptCount val="13"/>
                <c:pt idx="0">
                  <c:v>0</c:v>
                </c:pt>
                <c:pt idx="1">
                  <c:v>0</c:v>
                </c:pt>
                <c:pt idx="2">
                  <c:v>#N/A</c:v>
                </c:pt>
                <c:pt idx="3">
                  <c:v>#N/A</c:v>
                </c:pt>
                <c:pt idx="4">
                  <c:v>#N/A</c:v>
                </c:pt>
                <c:pt idx="5">
                  <c:v>#N/A</c:v>
                </c:pt>
                <c:pt idx="6">
                  <c:v>#N/A</c:v>
                </c:pt>
                <c:pt idx="7">
                  <c:v>#N/A</c:v>
                </c:pt>
                <c:pt idx="8">
                  <c:v>#N/A</c:v>
                </c:pt>
                <c:pt idx="9">
                  <c:v>#N/A</c:v>
                </c:pt>
                <c:pt idx="10">
                  <c:v>#N/A</c:v>
                </c:pt>
                <c:pt idx="11">
                  <c:v>#N/A</c:v>
                </c:pt>
                <c:pt idx="12">
                  <c:v>#N/A</c:v>
                </c:pt>
              </c:numCache>
            </c:numRef>
          </c:val>
          <c:extLst>
            <c:ext xmlns:c16="http://schemas.microsoft.com/office/drawing/2014/chart" uri="{C3380CC4-5D6E-409C-BE32-E72D297353CC}">
              <c16:uniqueId val="{00000006-6787-461D-B79C-CCDA42F5883A}"/>
            </c:ext>
          </c:extLst>
        </c:ser>
        <c:ser>
          <c:idx val="6"/>
          <c:order val="6"/>
          <c:tx>
            <c:strRef>
              <c:f>Feuil_M!$R$42</c:f>
              <c:strCache>
                <c:ptCount val="1"/>
                <c:pt idx="0">
                  <c:v>Pers.encadrement Formatif c1</c:v>
                </c:pt>
              </c:strCache>
            </c:strRef>
          </c:tx>
          <c:spPr>
            <a:pattFill prst="wave">
              <a:fgClr>
                <a:srgbClr val="C1C2DA"/>
              </a:fgClr>
              <a:bgClr>
                <a:schemeClr val="bg1"/>
              </a:bgClr>
            </a:pattFill>
            <a:ln>
              <a:solidFill>
                <a:srgbClr val="C1C2DA"/>
              </a:solidFill>
            </a:ln>
            <a:effectLst/>
          </c:spPr>
          <c:invertIfNegative val="0"/>
          <c:val>
            <c:numRef>
              <c:f>Feuil_M!$R$43:$R$55</c:f>
              <c:numCache>
                <c:formatCode>0.0</c:formatCode>
                <c:ptCount val="13"/>
                <c:pt idx="0">
                  <c:v>#N/A</c:v>
                </c:pt>
                <c:pt idx="1">
                  <c:v>#N/A</c:v>
                </c:pt>
                <c:pt idx="2">
                  <c:v>0</c:v>
                </c:pt>
                <c:pt idx="3">
                  <c:v>0</c:v>
                </c:pt>
                <c:pt idx="4">
                  <c:v>0</c:v>
                </c:pt>
                <c:pt idx="5">
                  <c:v>0</c:v>
                </c:pt>
                <c:pt idx="6">
                  <c:v>0</c:v>
                </c:pt>
                <c:pt idx="7">
                  <c:v>0</c:v>
                </c:pt>
                <c:pt idx="8">
                  <c:v>#N/A</c:v>
                </c:pt>
                <c:pt idx="9">
                  <c:v>#N/A</c:v>
                </c:pt>
                <c:pt idx="10">
                  <c:v>#N/A</c:v>
                </c:pt>
                <c:pt idx="11">
                  <c:v>#N/A</c:v>
                </c:pt>
                <c:pt idx="12">
                  <c:v>#N/A</c:v>
                </c:pt>
              </c:numCache>
            </c:numRef>
          </c:val>
          <c:extLst>
            <c:ext xmlns:c16="http://schemas.microsoft.com/office/drawing/2014/chart" uri="{C3380CC4-5D6E-409C-BE32-E72D297353CC}">
              <c16:uniqueId val="{00000007-6787-461D-B79C-CCDA42F5883A}"/>
            </c:ext>
          </c:extLst>
        </c:ser>
        <c:ser>
          <c:idx val="7"/>
          <c:order val="7"/>
          <c:tx>
            <c:strRef>
              <c:f>Feuil_M!$S$42</c:f>
              <c:strCache>
                <c:ptCount val="1"/>
                <c:pt idx="0">
                  <c:v>Pers.encadrement Formatif c2</c:v>
                </c:pt>
              </c:strCache>
            </c:strRef>
          </c:tx>
          <c:spPr>
            <a:pattFill prst="wave">
              <a:fgClr>
                <a:srgbClr val="B1CCE6"/>
              </a:fgClr>
              <a:bgClr>
                <a:schemeClr val="bg1"/>
              </a:bgClr>
            </a:pattFill>
            <a:ln>
              <a:solidFill>
                <a:srgbClr val="B1CCE6"/>
              </a:solidFill>
            </a:ln>
            <a:effectLst/>
          </c:spPr>
          <c:invertIfNegative val="0"/>
          <c:val>
            <c:numRef>
              <c:f>Feuil_M!$S$43:$S$55</c:f>
              <c:numCache>
                <c:formatCode>0.0</c:formatCode>
                <c:ptCount val="13"/>
                <c:pt idx="0">
                  <c:v>#N/A</c:v>
                </c:pt>
                <c:pt idx="1">
                  <c:v>#N/A</c:v>
                </c:pt>
                <c:pt idx="2">
                  <c:v>#N/A</c:v>
                </c:pt>
                <c:pt idx="3">
                  <c:v>#N/A</c:v>
                </c:pt>
                <c:pt idx="4">
                  <c:v>#N/A</c:v>
                </c:pt>
                <c:pt idx="5">
                  <c:v>#N/A</c:v>
                </c:pt>
                <c:pt idx="6">
                  <c:v>#N/A</c:v>
                </c:pt>
                <c:pt idx="7">
                  <c:v>#N/A</c:v>
                </c:pt>
                <c:pt idx="8">
                  <c:v>0</c:v>
                </c:pt>
                <c:pt idx="9">
                  <c:v>0</c:v>
                </c:pt>
                <c:pt idx="10">
                  <c:v>#N/A</c:v>
                </c:pt>
                <c:pt idx="11">
                  <c:v>#N/A</c:v>
                </c:pt>
                <c:pt idx="12">
                  <c:v>#N/A</c:v>
                </c:pt>
              </c:numCache>
            </c:numRef>
          </c:val>
          <c:extLst>
            <c:ext xmlns:c16="http://schemas.microsoft.com/office/drawing/2014/chart" uri="{C3380CC4-5D6E-409C-BE32-E72D297353CC}">
              <c16:uniqueId val="{00000000-98A7-417A-83CB-32EE51B7809D}"/>
            </c:ext>
          </c:extLst>
        </c:ser>
        <c:ser>
          <c:idx val="8"/>
          <c:order val="8"/>
          <c:tx>
            <c:strRef>
              <c:f>Feuil_M!$T$42</c:f>
              <c:strCache>
                <c:ptCount val="1"/>
                <c:pt idx="0">
                  <c:v>Pers.encadrement Formatif c3</c:v>
                </c:pt>
              </c:strCache>
            </c:strRef>
          </c:tx>
          <c:spPr>
            <a:pattFill prst="wave">
              <a:fgClr>
                <a:srgbClr val="C0EAED"/>
              </a:fgClr>
              <a:bgClr>
                <a:srgbClr val="FFFFFF"/>
              </a:bgClr>
            </a:pattFill>
            <a:ln w="9525" cap="flat" cmpd="sng" algn="ctr">
              <a:solidFill>
                <a:srgbClr val="C0EAED"/>
              </a:solidFill>
              <a:prstDash val="solid"/>
              <a:round/>
              <a:headEnd type="none" w="med" len="med"/>
              <a:tailEnd type="none" w="med" len="med"/>
            </a:ln>
            <a:effectLst/>
          </c:spPr>
          <c:invertIfNegative val="0"/>
          <c:val>
            <c:numRef>
              <c:f>Feuil_M!$T$43:$T$55</c:f>
              <c:numCache>
                <c:formatCode>0.0</c:formatCode>
                <c:ptCount val="13"/>
                <c:pt idx="0">
                  <c:v>#N/A</c:v>
                </c:pt>
                <c:pt idx="1">
                  <c:v>#N/A</c:v>
                </c:pt>
                <c:pt idx="2">
                  <c:v>#N/A</c:v>
                </c:pt>
                <c:pt idx="3">
                  <c:v>#N/A</c:v>
                </c:pt>
                <c:pt idx="4">
                  <c:v>#N/A</c:v>
                </c:pt>
                <c:pt idx="5">
                  <c:v>#N/A</c:v>
                </c:pt>
                <c:pt idx="6">
                  <c:v>#N/A</c:v>
                </c:pt>
                <c:pt idx="7">
                  <c:v>#N/A</c:v>
                </c:pt>
                <c:pt idx="8">
                  <c:v>#N/A</c:v>
                </c:pt>
                <c:pt idx="9">
                  <c:v>#N/A</c:v>
                </c:pt>
                <c:pt idx="10">
                  <c:v>0</c:v>
                </c:pt>
                <c:pt idx="11">
                  <c:v>#N/A</c:v>
                </c:pt>
                <c:pt idx="12">
                  <c:v>#N/A</c:v>
                </c:pt>
              </c:numCache>
            </c:numRef>
          </c:val>
          <c:extLst>
            <c:ext xmlns:c16="http://schemas.microsoft.com/office/drawing/2014/chart" uri="{C3380CC4-5D6E-409C-BE32-E72D297353CC}">
              <c16:uniqueId val="{00000001-98A7-417A-83CB-32EE51B7809D}"/>
            </c:ext>
          </c:extLst>
        </c:ser>
        <c:ser>
          <c:idx val="9"/>
          <c:order val="9"/>
          <c:tx>
            <c:strRef>
              <c:f>Feuil_M!$U$42</c:f>
              <c:strCache>
                <c:ptCount val="1"/>
                <c:pt idx="0">
                  <c:v>Pers.encadrement Formatif T</c:v>
                </c:pt>
              </c:strCache>
            </c:strRef>
          </c:tx>
          <c:spPr>
            <a:pattFill prst="wave">
              <a:fgClr>
                <a:srgbClr val="CFCECE"/>
              </a:fgClr>
              <a:bgClr>
                <a:srgbClr val="FFFFFF"/>
              </a:bgClr>
            </a:pattFill>
            <a:ln w="9525" cap="flat" cmpd="sng" algn="ctr">
              <a:solidFill>
                <a:srgbClr val="CFCECE"/>
              </a:solidFill>
              <a:prstDash val="solid"/>
              <a:round/>
              <a:headEnd type="none" w="med" len="med"/>
              <a:tailEnd type="none" w="med" len="med"/>
            </a:ln>
            <a:effectLst/>
          </c:spPr>
          <c:invertIfNegative val="0"/>
          <c:val>
            <c:numRef>
              <c:f>Feuil_M!$U$43:$U$55</c:f>
              <c:numCache>
                <c:formatCode>0.0</c:formatCode>
                <c:ptCount val="13"/>
                <c:pt idx="0">
                  <c:v>#N/A</c:v>
                </c:pt>
                <c:pt idx="1">
                  <c:v>#N/A</c:v>
                </c:pt>
                <c:pt idx="2">
                  <c:v>#N/A</c:v>
                </c:pt>
                <c:pt idx="3">
                  <c:v>#N/A</c:v>
                </c:pt>
                <c:pt idx="4">
                  <c:v>#N/A</c:v>
                </c:pt>
                <c:pt idx="5">
                  <c:v>#N/A</c:v>
                </c:pt>
                <c:pt idx="6">
                  <c:v>#N/A</c:v>
                </c:pt>
                <c:pt idx="7">
                  <c:v>#N/A</c:v>
                </c:pt>
                <c:pt idx="8">
                  <c:v>#N/A</c:v>
                </c:pt>
                <c:pt idx="9">
                  <c:v>#N/A</c:v>
                </c:pt>
                <c:pt idx="10">
                  <c:v>#N/A</c:v>
                </c:pt>
                <c:pt idx="11">
                  <c:v>0</c:v>
                </c:pt>
                <c:pt idx="12">
                  <c:v>0</c:v>
                </c:pt>
              </c:numCache>
            </c:numRef>
          </c:val>
          <c:extLst>
            <c:ext xmlns:c16="http://schemas.microsoft.com/office/drawing/2014/chart" uri="{C3380CC4-5D6E-409C-BE32-E72D297353CC}">
              <c16:uniqueId val="{00000002-98A7-417A-83CB-32EE51B7809D}"/>
            </c:ext>
          </c:extLst>
        </c:ser>
        <c:ser>
          <c:idx val="10"/>
          <c:order val="10"/>
          <c:tx>
            <c:strRef>
              <c:f>Feuil_M!$V$42</c:f>
              <c:strCache>
                <c:ptCount val="1"/>
                <c:pt idx="0">
                  <c:v>Pers.enseignante Sommatif F</c:v>
                </c:pt>
              </c:strCache>
            </c:strRef>
          </c:tx>
          <c:spPr>
            <a:solidFill>
              <a:srgbClr val="F7B8B3"/>
            </a:solidFill>
            <a:ln w="12700" cap="flat" cmpd="sng" algn="ctr">
              <a:solidFill>
                <a:schemeClr val="tx1"/>
              </a:solidFill>
              <a:prstDash val="solid"/>
              <a:round/>
              <a:headEnd type="none" w="med" len="med"/>
              <a:tailEnd type="none" w="med" len="med"/>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Feuil_M!$V$43:$V$55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98A7-417A-83CB-32EE51B7809D}"/>
            </c:ext>
          </c:extLst>
        </c:ser>
        <c:ser>
          <c:idx val="11"/>
          <c:order val="11"/>
          <c:tx>
            <c:strRef>
              <c:f>Feuil_M!$W$42</c:f>
              <c:strCache>
                <c:ptCount val="1"/>
                <c:pt idx="0">
                  <c:v>Pers.enseignante Sommatif c1</c:v>
                </c:pt>
              </c:strCache>
            </c:strRef>
          </c:tx>
          <c:spPr>
            <a:solidFill>
              <a:srgbClr val="C1C2DA"/>
            </a:solidFill>
            <a:ln w="12700" cap="flat" cmpd="sng" algn="ctr">
              <a:solidFill>
                <a:schemeClr val="tx1"/>
              </a:solidFill>
              <a:prstDash val="solid"/>
              <a:round/>
              <a:headEnd type="none" w="med" len="med"/>
              <a:tailEnd type="none" w="med" len="med"/>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Feuil_M!$W$43:$W$55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98A7-417A-83CB-32EE51B7809D}"/>
            </c:ext>
          </c:extLst>
        </c:ser>
        <c:ser>
          <c:idx val="12"/>
          <c:order val="12"/>
          <c:tx>
            <c:strRef>
              <c:f>Feuil_M!$X$42</c:f>
              <c:strCache>
                <c:ptCount val="1"/>
                <c:pt idx="0">
                  <c:v>Pers.enseignante Sommatif c2</c:v>
                </c:pt>
              </c:strCache>
            </c:strRef>
          </c:tx>
          <c:spPr>
            <a:solidFill>
              <a:srgbClr val="B1CCE6"/>
            </a:solidFill>
            <a:ln w="12700">
              <a:solidFill>
                <a:schemeClr val="tx1"/>
              </a:solid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Feuil_M!$X$43:$X$55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98A7-417A-83CB-32EE51B7809D}"/>
            </c:ext>
          </c:extLst>
        </c:ser>
        <c:ser>
          <c:idx val="13"/>
          <c:order val="13"/>
          <c:tx>
            <c:strRef>
              <c:f>Feuil_M!$Y$42</c:f>
              <c:strCache>
                <c:ptCount val="1"/>
                <c:pt idx="0">
                  <c:v>Pers.enseignante Sommatif c3</c:v>
                </c:pt>
              </c:strCache>
            </c:strRef>
          </c:tx>
          <c:spPr>
            <a:solidFill>
              <a:srgbClr val="C0EAED"/>
            </a:solidFill>
            <a:ln w="12700">
              <a:solidFill>
                <a:schemeClr val="tx1"/>
              </a:solid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Feuil_M!$Y$43:$Y$55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98A7-417A-83CB-32EE51B7809D}"/>
            </c:ext>
          </c:extLst>
        </c:ser>
        <c:ser>
          <c:idx val="14"/>
          <c:order val="14"/>
          <c:tx>
            <c:strRef>
              <c:f>Feuil_M!$Z$42</c:f>
              <c:strCache>
                <c:ptCount val="1"/>
                <c:pt idx="0">
                  <c:v>Pers.enseignante Sommatif T</c:v>
                </c:pt>
              </c:strCache>
            </c:strRef>
          </c:tx>
          <c:spPr>
            <a:solidFill>
              <a:srgbClr val="CFCECE"/>
            </a:solidFill>
            <a:ln w="12700">
              <a:solidFill>
                <a:schemeClr val="tx1"/>
              </a:solid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Feuil_M!$Z$43:$Z$55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7-98A7-417A-83CB-32EE51B7809D}"/>
            </c:ext>
          </c:extLst>
        </c:ser>
        <c:ser>
          <c:idx val="15"/>
          <c:order val="15"/>
          <c:tx>
            <c:strRef>
              <c:f>Feuil_M!$AA$42</c:f>
              <c:strCache>
                <c:ptCount val="1"/>
                <c:pt idx="0">
                  <c:v>Pers.encadrement Sommatif F</c:v>
                </c:pt>
              </c:strCache>
            </c:strRef>
          </c:tx>
          <c:spPr>
            <a:pattFill prst="wave">
              <a:fgClr>
                <a:srgbClr val="F7B8B3"/>
              </a:fgClr>
              <a:bgClr>
                <a:srgbClr val="FFFFFF"/>
              </a:bgClr>
            </a:pattFill>
            <a:ln w="12700">
              <a:solidFill>
                <a:schemeClr val="tx1"/>
              </a:solid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Feuil_M!$AA$43:$AA$55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98A7-417A-83CB-32EE51B7809D}"/>
            </c:ext>
          </c:extLst>
        </c:ser>
        <c:ser>
          <c:idx val="16"/>
          <c:order val="16"/>
          <c:tx>
            <c:strRef>
              <c:f>Feuil_M!$AB$42</c:f>
              <c:strCache>
                <c:ptCount val="1"/>
                <c:pt idx="0">
                  <c:v>Pers.encadrement Sommatif c1</c:v>
                </c:pt>
              </c:strCache>
            </c:strRef>
          </c:tx>
          <c:spPr>
            <a:pattFill prst="wave">
              <a:fgClr>
                <a:srgbClr val="C1C2DA"/>
              </a:fgClr>
              <a:bgClr>
                <a:srgbClr val="FFFFFF"/>
              </a:bgClr>
            </a:pattFill>
            <a:ln w="12700">
              <a:solidFill>
                <a:schemeClr val="tx1"/>
              </a:solid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Feuil_M!$AB$43:$AB$55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98A7-417A-83CB-32EE51B7809D}"/>
            </c:ext>
          </c:extLst>
        </c:ser>
        <c:ser>
          <c:idx val="17"/>
          <c:order val="17"/>
          <c:tx>
            <c:strRef>
              <c:f>Feuil_M!$AC$42</c:f>
              <c:strCache>
                <c:ptCount val="1"/>
                <c:pt idx="0">
                  <c:v>Pers.encadrement Sommatif c2</c:v>
                </c:pt>
              </c:strCache>
            </c:strRef>
          </c:tx>
          <c:spPr>
            <a:pattFill prst="wave">
              <a:fgClr>
                <a:srgbClr val="B1CCE6"/>
              </a:fgClr>
              <a:bgClr>
                <a:srgbClr val="FFFFFF"/>
              </a:bgClr>
            </a:pattFill>
            <a:ln w="12700">
              <a:solidFill>
                <a:schemeClr val="tx1"/>
              </a:solid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Feuil_M!$AC$43:$AC$55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98A7-417A-83CB-32EE51B7809D}"/>
            </c:ext>
          </c:extLst>
        </c:ser>
        <c:ser>
          <c:idx val="18"/>
          <c:order val="18"/>
          <c:tx>
            <c:strRef>
              <c:f>Feuil_M!$AD$42</c:f>
              <c:strCache>
                <c:ptCount val="1"/>
                <c:pt idx="0">
                  <c:v>Pers.encadrement Sommatif c3</c:v>
                </c:pt>
              </c:strCache>
            </c:strRef>
          </c:tx>
          <c:spPr>
            <a:pattFill prst="wave">
              <a:fgClr>
                <a:srgbClr val="C0EAED"/>
              </a:fgClr>
              <a:bgClr>
                <a:srgbClr val="FFFFFF"/>
              </a:bgClr>
            </a:pattFill>
            <a:ln w="12700">
              <a:solidFill>
                <a:schemeClr val="tx1"/>
              </a:solid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Feuil_M!$AD$43:$AD$55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98A7-417A-83CB-32EE51B7809D}"/>
            </c:ext>
          </c:extLst>
        </c:ser>
        <c:ser>
          <c:idx val="19"/>
          <c:order val="19"/>
          <c:tx>
            <c:strRef>
              <c:f>Feuil_M!$AE$42</c:f>
              <c:strCache>
                <c:ptCount val="1"/>
                <c:pt idx="0">
                  <c:v>Pers.encadrement Sommatif T</c:v>
                </c:pt>
              </c:strCache>
            </c:strRef>
          </c:tx>
          <c:spPr>
            <a:pattFill prst="wave">
              <a:fgClr>
                <a:srgbClr val="CFCECE"/>
              </a:fgClr>
              <a:bgClr>
                <a:srgbClr val="FFFFFF"/>
              </a:bgClr>
            </a:pattFill>
            <a:ln w="12700">
              <a:solidFill>
                <a:schemeClr val="tx1"/>
              </a:solidFill>
            </a:ln>
            <a:effectLst/>
          </c:spPr>
          <c:invertIfNegative val="0"/>
          <c:dLbls>
            <c:numFmt formatCode="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Feuil_M!$AE$43:$AE$55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C-98A7-417A-83CB-32EE51B7809D}"/>
            </c:ext>
          </c:extLst>
        </c:ser>
        <c:dLbls>
          <c:showLegendKey val="0"/>
          <c:showVal val="0"/>
          <c:showCatName val="0"/>
          <c:showSerName val="0"/>
          <c:showPercent val="0"/>
          <c:showBubbleSize val="0"/>
        </c:dLbls>
        <c:gapWidth val="100"/>
        <c:overlap val="80"/>
        <c:axId val="1252467568"/>
        <c:axId val="1252476688"/>
      </c:barChart>
      <c:catAx>
        <c:axId val="12524675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52476688"/>
        <c:crosses val="autoZero"/>
        <c:auto val="1"/>
        <c:lblAlgn val="ctr"/>
        <c:lblOffset val="100"/>
        <c:noMultiLvlLbl val="1"/>
      </c:catAx>
      <c:valAx>
        <c:axId val="1252476688"/>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 sourceLinked="0"/>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52467568"/>
        <c:crosses val="autoZero"/>
        <c:crossBetween val="between"/>
        <c:majorUnit val="10"/>
        <c:minorUnit val="5"/>
      </c:valAx>
      <c:spPr>
        <a:noFill/>
        <a:ln>
          <a:noFill/>
        </a:ln>
        <a:effectLst/>
      </c:spPr>
    </c:plotArea>
    <c:plotVisOnly val="1"/>
    <c:dispBlanksAs val="gap"/>
    <c:showDLblsOverMax val="0"/>
  </c:chart>
  <c:spPr>
    <a:solidFill>
      <a:schemeClr val="bg1"/>
    </a:solidFill>
    <a:ln w="9525" cap="flat" cmpd="sng" algn="ctr">
      <a:solidFill>
        <a:schemeClr val="accent1">
          <a:lumMod val="60000"/>
          <a:lumOff val="40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fmlaLink="Feuil_M!$B$79" lockText="1" noThreeD="1"/>
</file>

<file path=xl/ctrlProps/ctrlProp11.xml><?xml version="1.0" encoding="utf-8"?>
<formControlPr xmlns="http://schemas.microsoft.com/office/spreadsheetml/2009/9/main" objectType="CheckBox" checked="Checked" fmlaLink="Feuil_M!$B$78"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fmlaLink="Feuil_M!$B$80" lockText="1" noThreeD="1"/>
</file>

<file path=xl/ctrlProps/ctrlProp9.xml><?xml version="1.0" encoding="utf-8"?>
<formControlPr xmlns="http://schemas.microsoft.com/office/spreadsheetml/2009/9/main" objectType="CheckBox" checked="Checked" fmlaLink="Feuil_M!$B$81" lockText="1" noThreeD="1"/>
</file>

<file path=xl/drawings/_rels/drawing1.xml.rels><?xml version="1.0" encoding="UTF-8" standalone="yes"?>
<Relationships xmlns="http://schemas.openxmlformats.org/package/2006/relationships"><Relationship Id="rId8" Type="http://schemas.openxmlformats.org/officeDocument/2006/relationships/hyperlink" Target="#'C 1'!A1"/><Relationship Id="rId13" Type="http://schemas.openxmlformats.org/officeDocument/2006/relationships/hyperlink" Target="#'C 6'!A1"/><Relationship Id="rId18" Type="http://schemas.openxmlformats.org/officeDocument/2006/relationships/hyperlink" Target="#'C 11'!A1"/><Relationship Id="rId3" Type="http://schemas.openxmlformats.org/officeDocument/2006/relationships/image" Target="../media/image4.png"/><Relationship Id="rId21" Type="http://schemas.openxmlformats.org/officeDocument/2006/relationships/hyperlink" Target="#'Bilan formatif'!A1"/><Relationship Id="rId7" Type="http://schemas.openxmlformats.org/officeDocument/2006/relationships/hyperlink" Target="#'Pr&#233;sentation'!A1"/><Relationship Id="rId12" Type="http://schemas.openxmlformats.org/officeDocument/2006/relationships/hyperlink" Target="#'C 5'!A1"/><Relationship Id="rId17" Type="http://schemas.openxmlformats.org/officeDocument/2006/relationships/hyperlink" Target="#'C 10'!A1"/><Relationship Id="rId2" Type="http://schemas.openxmlformats.org/officeDocument/2006/relationships/image" Target="../media/image3.png"/><Relationship Id="rId16" Type="http://schemas.openxmlformats.org/officeDocument/2006/relationships/hyperlink" Target="#'C 9'!A1"/><Relationship Id="rId20" Type="http://schemas.openxmlformats.org/officeDocument/2006/relationships/hyperlink" Target="#'C 13'!A1"/><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hyperlink" Target="#'C 4'!A1"/><Relationship Id="rId5" Type="http://schemas.openxmlformats.org/officeDocument/2006/relationships/image" Target="../media/image6.png"/><Relationship Id="rId15" Type="http://schemas.openxmlformats.org/officeDocument/2006/relationships/hyperlink" Target="#'C 8'!A1"/><Relationship Id="rId23" Type="http://schemas.openxmlformats.org/officeDocument/2006/relationships/hyperlink" Target="#'Bilan formatif-sommatif'!A1"/><Relationship Id="rId10" Type="http://schemas.openxmlformats.org/officeDocument/2006/relationships/hyperlink" Target="#'C 3'!A1"/><Relationship Id="rId19" Type="http://schemas.openxmlformats.org/officeDocument/2006/relationships/hyperlink" Target="#'C 12'!A1"/><Relationship Id="rId4" Type="http://schemas.openxmlformats.org/officeDocument/2006/relationships/image" Target="../media/image5.png"/><Relationship Id="rId9" Type="http://schemas.openxmlformats.org/officeDocument/2006/relationships/hyperlink" Target="#'C 2'!A1"/><Relationship Id="rId14" Type="http://schemas.openxmlformats.org/officeDocument/2006/relationships/hyperlink" Target="#'C 7'!A1"/><Relationship Id="rId22" Type="http://schemas.openxmlformats.org/officeDocument/2006/relationships/hyperlink" Target="#'Bilan sommatif'!A1"/></Relationships>
</file>

<file path=xl/drawings/_rels/drawing10.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hyperlink" Target="#'Pr&#233;sentation'!B21"/></Relationships>
</file>

<file path=xl/drawings/_rels/drawing1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hyperlink" Target="#'Pr&#233;sentation'!B21"/></Relationships>
</file>

<file path=xl/drawings/_rels/drawing1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hyperlink" Target="#'Pr&#233;sentation'!B21"/></Relationships>
</file>

<file path=xl/drawings/_rels/drawing1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hyperlink" Target="#'Pr&#233;sentation'!B21"/></Relationships>
</file>

<file path=xl/drawings/_rels/drawing1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hyperlink" Target="#'Pr&#233;sentation'!B21"/></Relationships>
</file>

<file path=xl/drawings/_rels/drawing15.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hyperlink" Target="#'Pr&#233;sentation'!B21"/><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hyperlink" Target="#'Pr&#233;sentation'!B21"/><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Pr&#233;sentation'!B21"/><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hyperlink" Target="#'Pr&#233;sentation'!B2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hyperlink" Target="#'Pr&#233;sentation'!B2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hyperlink" Target="#'Pr&#233;sentation'!B21"/></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4.png"/><Relationship Id="rId1" Type="http://schemas.openxmlformats.org/officeDocument/2006/relationships/image" Target="../media/image2.png"/><Relationship Id="rId4" Type="http://schemas.openxmlformats.org/officeDocument/2006/relationships/hyperlink" Target="#'Pr&#233;sentation'!B21"/></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hyperlink" Target="#'Pr&#233;sentation'!B21"/></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hyperlink" Target="#'Pr&#233;sentation'!B21"/></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4.png"/><Relationship Id="rId1" Type="http://schemas.openxmlformats.org/officeDocument/2006/relationships/image" Target="../media/image2.png"/><Relationship Id="rId4" Type="http://schemas.openxmlformats.org/officeDocument/2006/relationships/hyperlink" Target="#'Pr&#233;sentation'!B2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hyperlink" Target="#'Pr&#233;sentation'!B21"/></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8.png"/><Relationship Id="rId1" Type="http://schemas.openxmlformats.org/officeDocument/2006/relationships/image" Target="../media/image2.png"/><Relationship Id="rId4" Type="http://schemas.openxmlformats.org/officeDocument/2006/relationships/hyperlink" Target="#'Pr&#233;sentation'!B21"/></Relationships>
</file>

<file path=xl/drawings/drawing1.xml><?xml version="1.0" encoding="utf-8"?>
<xdr:wsDr xmlns:xdr="http://schemas.openxmlformats.org/drawingml/2006/spreadsheetDrawing" xmlns:a="http://schemas.openxmlformats.org/drawingml/2006/main">
  <xdr:twoCellAnchor editAs="oneCell">
    <xdr:from>
      <xdr:col>1</xdr:col>
      <xdr:colOff>30480</xdr:colOff>
      <xdr:row>0</xdr:row>
      <xdr:rowOff>87127</xdr:rowOff>
    </xdr:from>
    <xdr:to>
      <xdr:col>1</xdr:col>
      <xdr:colOff>1279820</xdr:colOff>
      <xdr:row>2</xdr:row>
      <xdr:rowOff>192881</xdr:rowOff>
    </xdr:to>
    <xdr:pic>
      <xdr:nvPicPr>
        <xdr:cNvPr id="3" name="logo_teluq_nb.eps" descr="Logo de l'Université TÉLUQ.">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109" y="87127"/>
          <a:ext cx="1255055" cy="6609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2080260</xdr:colOff>
          <xdr:row>4</xdr:row>
          <xdr:rowOff>403860</xdr:rowOff>
        </xdr:from>
        <xdr:to>
          <xdr:col>2</xdr:col>
          <xdr:colOff>2575560</xdr:colOff>
          <xdr:row>5</xdr:row>
          <xdr:rowOff>327660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Préscolaire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2080260</xdr:colOff>
          <xdr:row>5</xdr:row>
          <xdr:rowOff>213360</xdr:rowOff>
        </xdr:from>
        <xdr:to>
          <xdr:col>2</xdr:col>
          <xdr:colOff>1089660</xdr:colOff>
          <xdr:row>6</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1re 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5</xdr:row>
          <xdr:rowOff>38100</xdr:rowOff>
        </xdr:from>
        <xdr:to>
          <xdr:col>2</xdr:col>
          <xdr:colOff>1775460</xdr:colOff>
          <xdr:row>5</xdr:row>
          <xdr:rowOff>251460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2e 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708660</xdr:colOff>
          <xdr:row>5</xdr:row>
          <xdr:rowOff>213360</xdr:rowOff>
        </xdr:from>
        <xdr:to>
          <xdr:col>2</xdr:col>
          <xdr:colOff>1828800</xdr:colOff>
          <xdr:row>6</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3e 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1318260</xdr:colOff>
          <xdr:row>4</xdr:row>
          <xdr:rowOff>518160</xdr:rowOff>
        </xdr:from>
        <xdr:to>
          <xdr:col>2</xdr:col>
          <xdr:colOff>2194560</xdr:colOff>
          <xdr:row>5</xdr:row>
          <xdr:rowOff>289560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4e 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1318260</xdr:colOff>
          <xdr:row>5</xdr:row>
          <xdr:rowOff>213360</xdr:rowOff>
        </xdr:from>
        <xdr:to>
          <xdr:col>2</xdr:col>
          <xdr:colOff>2499360</xdr:colOff>
          <xdr:row>6</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5e 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2004060</xdr:colOff>
          <xdr:row>5</xdr:row>
          <xdr:rowOff>38100</xdr:rowOff>
        </xdr:from>
        <xdr:to>
          <xdr:col>3</xdr:col>
          <xdr:colOff>22860</xdr:colOff>
          <xdr:row>5</xdr:row>
          <xdr:rowOff>251460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6e année</a:t>
              </a:r>
            </a:p>
          </xdr:txBody>
        </xdr:sp>
        <xdr:clientData/>
      </xdr:twoCellAnchor>
    </mc:Choice>
    <mc:Fallback/>
  </mc:AlternateContent>
  <xdr:twoCellAnchor>
    <xdr:from>
      <xdr:col>0</xdr:col>
      <xdr:colOff>350520</xdr:colOff>
      <xdr:row>19</xdr:row>
      <xdr:rowOff>220980</xdr:rowOff>
    </xdr:from>
    <xdr:to>
      <xdr:col>8</xdr:col>
      <xdr:colOff>106680</xdr:colOff>
      <xdr:row>45</xdr:row>
      <xdr:rowOff>60960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350520" y="10668000"/>
          <a:ext cx="11323320" cy="6301740"/>
        </a:xfrm>
        <a:prstGeom prst="rect">
          <a:avLst/>
        </a:prstGeom>
        <a:noFill/>
        <a:ln w="6350">
          <a:solidFill>
            <a:schemeClr val="accent1">
              <a:lumMod val="60000"/>
              <a:lumOff val="40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endParaRPr lang="fr-CA" sz="1000" b="1"/>
        </a:p>
      </xdr:txBody>
    </xdr:sp>
    <xdr:clientData/>
  </xdr:twoCellAnchor>
  <xdr:twoCellAnchor>
    <xdr:from>
      <xdr:col>0</xdr:col>
      <xdr:colOff>373380</xdr:colOff>
      <xdr:row>0</xdr:row>
      <xdr:rowOff>45720</xdr:rowOff>
    </xdr:from>
    <xdr:to>
      <xdr:col>10</xdr:col>
      <xdr:colOff>83820</xdr:colOff>
      <xdr:row>19</xdr:row>
      <xdr:rowOff>114300</xdr:rowOff>
    </xdr:to>
    <xdr:sp macro="" textlink="">
      <xdr:nvSpPr>
        <xdr:cNvPr id="1146" name="Rectangle 1145">
          <a:extLst>
            <a:ext uri="{FF2B5EF4-FFF2-40B4-BE49-F238E27FC236}">
              <a16:creationId xmlns:a16="http://schemas.microsoft.com/office/drawing/2014/main" id="{00000000-0008-0000-0000-00007A040000}"/>
            </a:ext>
          </a:extLst>
        </xdr:cNvPr>
        <xdr:cNvSpPr/>
      </xdr:nvSpPr>
      <xdr:spPr>
        <a:xfrm>
          <a:off x="373380" y="45720"/>
          <a:ext cx="15247620" cy="10515600"/>
        </a:xfrm>
        <a:prstGeom prst="rect">
          <a:avLst/>
        </a:prstGeom>
        <a:noFill/>
        <a:ln w="6350">
          <a:solidFill>
            <a:schemeClr val="accent1">
              <a:lumMod val="60000"/>
              <a:lumOff val="40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endParaRPr lang="fr-CA" sz="1000" b="1"/>
        </a:p>
      </xdr:txBody>
    </xdr:sp>
    <xdr:clientData/>
  </xdr:twoCellAnchor>
  <xdr:twoCellAnchor editAs="oneCell">
    <xdr:from>
      <xdr:col>7</xdr:col>
      <xdr:colOff>556260</xdr:colOff>
      <xdr:row>23</xdr:row>
      <xdr:rowOff>17504</xdr:rowOff>
    </xdr:from>
    <xdr:to>
      <xdr:col>7</xdr:col>
      <xdr:colOff>774051</xdr:colOff>
      <xdr:row>23</xdr:row>
      <xdr:rowOff>242930</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1277600" y="11394164"/>
          <a:ext cx="217791" cy="225426"/>
        </a:xfrm>
        <a:prstGeom prst="rect">
          <a:avLst/>
        </a:prstGeom>
      </xdr:spPr>
    </xdr:pic>
    <xdr:clientData/>
  </xdr:twoCellAnchor>
  <xdr:twoCellAnchor editAs="oneCell">
    <xdr:from>
      <xdr:col>7</xdr:col>
      <xdr:colOff>556260</xdr:colOff>
      <xdr:row>26</xdr:row>
      <xdr:rowOff>11005</xdr:rowOff>
    </xdr:from>
    <xdr:to>
      <xdr:col>7</xdr:col>
      <xdr:colOff>810122</xdr:colOff>
      <xdr:row>27</xdr:row>
      <xdr:rowOff>745</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11277600" y="12142045"/>
          <a:ext cx="253862" cy="241200"/>
        </a:xfrm>
        <a:prstGeom prst="rect">
          <a:avLst/>
        </a:prstGeom>
      </xdr:spPr>
    </xdr:pic>
    <xdr:clientData/>
  </xdr:twoCellAnchor>
  <xdr:twoCellAnchor editAs="oneCell">
    <xdr:from>
      <xdr:col>7</xdr:col>
      <xdr:colOff>556260</xdr:colOff>
      <xdr:row>33</xdr:row>
      <xdr:rowOff>9935</xdr:rowOff>
    </xdr:from>
    <xdr:to>
      <xdr:col>8</xdr:col>
      <xdr:colOff>2828</xdr:colOff>
      <xdr:row>34</xdr:row>
      <xdr:rowOff>3485</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11277600" y="13901195"/>
          <a:ext cx="261908" cy="241200"/>
        </a:xfrm>
        <a:prstGeom prst="rect">
          <a:avLst/>
        </a:prstGeom>
      </xdr:spPr>
    </xdr:pic>
    <xdr:clientData/>
  </xdr:twoCellAnchor>
  <xdr:twoCellAnchor editAs="oneCell">
    <xdr:from>
      <xdr:col>7</xdr:col>
      <xdr:colOff>502920</xdr:colOff>
      <xdr:row>36</xdr:row>
      <xdr:rowOff>13971</xdr:rowOff>
    </xdr:from>
    <xdr:to>
      <xdr:col>7</xdr:col>
      <xdr:colOff>800314</xdr:colOff>
      <xdr:row>37</xdr:row>
      <xdr:rowOff>3175</xdr:rowOff>
    </xdr:to>
    <xdr:pic>
      <xdr:nvPicPr>
        <xdr:cNvPr id="8" name="Imag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a:stretch>
          <a:fillRect/>
        </a:stretch>
      </xdr:blipFill>
      <xdr:spPr>
        <a:xfrm>
          <a:off x="11224260" y="14659611"/>
          <a:ext cx="297394" cy="240664"/>
        </a:xfrm>
        <a:prstGeom prst="rect">
          <a:avLst/>
        </a:prstGeom>
      </xdr:spPr>
    </xdr:pic>
    <xdr:clientData/>
  </xdr:twoCellAnchor>
  <xdr:twoCellAnchor editAs="oneCell">
    <xdr:from>
      <xdr:col>7</xdr:col>
      <xdr:colOff>556260</xdr:colOff>
      <xdr:row>38</xdr:row>
      <xdr:rowOff>11220</xdr:rowOff>
    </xdr:from>
    <xdr:to>
      <xdr:col>7</xdr:col>
      <xdr:colOff>762204</xdr:colOff>
      <xdr:row>39</xdr:row>
      <xdr:rowOff>960</xdr:rowOff>
    </xdr:to>
    <xdr:pic>
      <xdr:nvPicPr>
        <xdr:cNvPr id="9" name="Imag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6"/>
        <a:stretch>
          <a:fillRect/>
        </a:stretch>
      </xdr:blipFill>
      <xdr:spPr>
        <a:xfrm>
          <a:off x="11277600" y="15159780"/>
          <a:ext cx="205944" cy="241200"/>
        </a:xfrm>
        <a:prstGeom prst="rect">
          <a:avLst/>
        </a:prstGeom>
      </xdr:spPr>
    </xdr:pic>
    <xdr:clientData/>
  </xdr:twoCellAnchor>
  <xdr:twoCellAnchor>
    <xdr:from>
      <xdr:col>3</xdr:col>
      <xdr:colOff>1226820</xdr:colOff>
      <xdr:row>22</xdr:row>
      <xdr:rowOff>30480</xdr:rowOff>
    </xdr:from>
    <xdr:to>
      <xdr:col>3</xdr:col>
      <xdr:colOff>2666820</xdr:colOff>
      <xdr:row>22</xdr:row>
      <xdr:rowOff>231648</xdr:rowOff>
    </xdr:to>
    <xdr:sp macro="" textlink="">
      <xdr:nvSpPr>
        <xdr:cNvPr id="1029" name="Rectangle : coins arrondis 1028" descr="Accès à la feuille Présentation">
          <a:hlinkClick xmlns:r="http://schemas.openxmlformats.org/officeDocument/2006/relationships" r:id="rId7"/>
          <a:extLst>
            <a:ext uri="{FF2B5EF4-FFF2-40B4-BE49-F238E27FC236}">
              <a16:creationId xmlns:a16="http://schemas.microsoft.com/office/drawing/2014/main" id="{00000000-0008-0000-0000-000005040000}"/>
            </a:ext>
          </a:extLst>
        </xdr:cNvPr>
        <xdr:cNvSpPr/>
      </xdr:nvSpPr>
      <xdr:spPr>
        <a:xfrm>
          <a:off x="6758940" y="11010900"/>
          <a:ext cx="1440000" cy="201168"/>
        </a:xfrm>
        <a:prstGeom prst="roundRect">
          <a:avLst/>
        </a:prstGeom>
        <a:solidFill>
          <a:srgbClr val="74B4B9"/>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Présentation</a:t>
          </a:r>
        </a:p>
      </xdr:txBody>
    </xdr:sp>
    <xdr:clientData/>
  </xdr:twoCellAnchor>
  <xdr:twoCellAnchor>
    <xdr:from>
      <xdr:col>3</xdr:col>
      <xdr:colOff>2034540</xdr:colOff>
      <xdr:row>24</xdr:row>
      <xdr:rowOff>22860</xdr:rowOff>
    </xdr:from>
    <xdr:to>
      <xdr:col>3</xdr:col>
      <xdr:colOff>2664540</xdr:colOff>
      <xdr:row>24</xdr:row>
      <xdr:rowOff>224029</xdr:rowOff>
    </xdr:to>
    <xdr:sp macro="" textlink="">
      <xdr:nvSpPr>
        <xdr:cNvPr id="1032" name="Rectangle : coins arrondis 1031" descr="Accès à la feuille C 1">
          <a:hlinkClick xmlns:r="http://schemas.openxmlformats.org/officeDocument/2006/relationships" r:id="rId8"/>
          <a:extLst>
            <a:ext uri="{FF2B5EF4-FFF2-40B4-BE49-F238E27FC236}">
              <a16:creationId xmlns:a16="http://schemas.microsoft.com/office/drawing/2014/main" id="{00000000-0008-0000-0000-000008040000}"/>
            </a:ext>
          </a:extLst>
        </xdr:cNvPr>
        <xdr:cNvSpPr/>
      </xdr:nvSpPr>
      <xdr:spPr>
        <a:xfrm>
          <a:off x="7566660" y="11506200"/>
          <a:ext cx="630000" cy="201169"/>
        </a:xfrm>
        <a:prstGeom prst="roundRect">
          <a:avLst/>
        </a:prstGeom>
        <a:gradFill flip="none" rotWithShape="1">
          <a:gsLst>
            <a:gs pos="0">
              <a:srgbClr val="F7B8B3"/>
            </a:gs>
            <a:gs pos="47500">
              <a:srgbClr val="F7B8B3"/>
            </a:gs>
            <a:gs pos="58500">
              <a:srgbClr val="FA867D"/>
            </a:gs>
            <a:gs pos="100000">
              <a:srgbClr val="FA867D"/>
            </a:gs>
          </a:gsLst>
          <a:lin ang="3600000" scaled="1"/>
          <a:tileRect/>
        </a:gra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C 1</a:t>
          </a:r>
        </a:p>
      </xdr:txBody>
    </xdr:sp>
    <xdr:clientData/>
  </xdr:twoCellAnchor>
  <xdr:twoCellAnchor>
    <xdr:from>
      <xdr:col>3</xdr:col>
      <xdr:colOff>2034540</xdr:colOff>
      <xdr:row>25</xdr:row>
      <xdr:rowOff>22860</xdr:rowOff>
    </xdr:from>
    <xdr:to>
      <xdr:col>3</xdr:col>
      <xdr:colOff>2664540</xdr:colOff>
      <xdr:row>25</xdr:row>
      <xdr:rowOff>224028</xdr:rowOff>
    </xdr:to>
    <xdr:sp macro="" textlink="">
      <xdr:nvSpPr>
        <xdr:cNvPr id="1033" name="Rectangle : coins arrondis 1032" descr="Accès à la feuille C 2">
          <a:hlinkClick xmlns:r="http://schemas.openxmlformats.org/officeDocument/2006/relationships" r:id="rId9"/>
          <a:extLst>
            <a:ext uri="{FF2B5EF4-FFF2-40B4-BE49-F238E27FC236}">
              <a16:creationId xmlns:a16="http://schemas.microsoft.com/office/drawing/2014/main" id="{00000000-0008-0000-0000-000009040000}"/>
            </a:ext>
          </a:extLst>
        </xdr:cNvPr>
        <xdr:cNvSpPr/>
      </xdr:nvSpPr>
      <xdr:spPr>
        <a:xfrm>
          <a:off x="7566660" y="11757660"/>
          <a:ext cx="630000" cy="201168"/>
        </a:xfrm>
        <a:prstGeom prst="roundRect">
          <a:avLst/>
        </a:prstGeom>
        <a:gradFill flip="none" rotWithShape="1">
          <a:gsLst>
            <a:gs pos="0">
              <a:srgbClr val="F7B8B3"/>
            </a:gs>
            <a:gs pos="47500">
              <a:srgbClr val="F7B8B3"/>
            </a:gs>
            <a:gs pos="58500">
              <a:srgbClr val="FA867D"/>
            </a:gs>
            <a:gs pos="100000">
              <a:srgbClr val="FA867D"/>
            </a:gs>
          </a:gsLst>
          <a:lin ang="3600000" scaled="1"/>
          <a:tileRect/>
        </a:gra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C 2</a:t>
          </a:r>
        </a:p>
      </xdr:txBody>
    </xdr:sp>
    <xdr:clientData/>
  </xdr:twoCellAnchor>
  <xdr:twoCellAnchor>
    <xdr:from>
      <xdr:col>3</xdr:col>
      <xdr:colOff>2034540</xdr:colOff>
      <xdr:row>27</xdr:row>
      <xdr:rowOff>22860</xdr:rowOff>
    </xdr:from>
    <xdr:to>
      <xdr:col>3</xdr:col>
      <xdr:colOff>2664540</xdr:colOff>
      <xdr:row>27</xdr:row>
      <xdr:rowOff>224028</xdr:rowOff>
    </xdr:to>
    <xdr:sp macro="" textlink="">
      <xdr:nvSpPr>
        <xdr:cNvPr id="1034" name="Rectangle : coins arrondis 1033" descr="Accès à la feuille C 3">
          <a:hlinkClick xmlns:r="http://schemas.openxmlformats.org/officeDocument/2006/relationships" r:id="rId10"/>
          <a:extLst>
            <a:ext uri="{FF2B5EF4-FFF2-40B4-BE49-F238E27FC236}">
              <a16:creationId xmlns:a16="http://schemas.microsoft.com/office/drawing/2014/main" id="{00000000-0008-0000-0000-00000A040000}"/>
            </a:ext>
          </a:extLst>
        </xdr:cNvPr>
        <xdr:cNvSpPr/>
      </xdr:nvSpPr>
      <xdr:spPr>
        <a:xfrm>
          <a:off x="7566660" y="12260580"/>
          <a:ext cx="630000" cy="201168"/>
        </a:xfrm>
        <a:prstGeom prst="roundRect">
          <a:avLst/>
        </a:prstGeom>
        <a:gradFill flip="none" rotWithShape="1">
          <a:gsLst>
            <a:gs pos="0">
              <a:srgbClr val="C1C2DA"/>
            </a:gs>
            <a:gs pos="47500">
              <a:srgbClr val="C1C2DA"/>
            </a:gs>
            <a:gs pos="58500">
              <a:srgbClr val="8E8FB2"/>
            </a:gs>
            <a:gs pos="100000">
              <a:srgbClr val="8E8FB2"/>
            </a:gs>
          </a:gsLst>
          <a:lin ang="3600000" scaled="1"/>
          <a:tileRect/>
        </a:gra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C 3</a:t>
          </a:r>
        </a:p>
      </xdr:txBody>
    </xdr:sp>
    <xdr:clientData/>
  </xdr:twoCellAnchor>
  <xdr:twoCellAnchor>
    <xdr:from>
      <xdr:col>3</xdr:col>
      <xdr:colOff>2034540</xdr:colOff>
      <xdr:row>28</xdr:row>
      <xdr:rowOff>22860</xdr:rowOff>
    </xdr:from>
    <xdr:to>
      <xdr:col>3</xdr:col>
      <xdr:colOff>2664540</xdr:colOff>
      <xdr:row>28</xdr:row>
      <xdr:rowOff>224028</xdr:rowOff>
    </xdr:to>
    <xdr:sp macro="" textlink="">
      <xdr:nvSpPr>
        <xdr:cNvPr id="1036" name="Rectangle : coins arrondis 1035" descr="Accès à la feuille C 4">
          <a:hlinkClick xmlns:r="http://schemas.openxmlformats.org/officeDocument/2006/relationships" r:id="rId11"/>
          <a:extLst>
            <a:ext uri="{FF2B5EF4-FFF2-40B4-BE49-F238E27FC236}">
              <a16:creationId xmlns:a16="http://schemas.microsoft.com/office/drawing/2014/main" id="{00000000-0008-0000-0000-00000C040000}"/>
            </a:ext>
          </a:extLst>
        </xdr:cNvPr>
        <xdr:cNvSpPr/>
      </xdr:nvSpPr>
      <xdr:spPr>
        <a:xfrm>
          <a:off x="7566660" y="12512040"/>
          <a:ext cx="630000" cy="201168"/>
        </a:xfrm>
        <a:prstGeom prst="roundRect">
          <a:avLst/>
        </a:prstGeom>
        <a:gradFill flip="none" rotWithShape="1">
          <a:gsLst>
            <a:gs pos="0">
              <a:srgbClr val="C1C2DA"/>
            </a:gs>
            <a:gs pos="47500">
              <a:srgbClr val="C1C2DA"/>
            </a:gs>
            <a:gs pos="58500">
              <a:srgbClr val="8E8FB2"/>
            </a:gs>
            <a:gs pos="100000">
              <a:srgbClr val="8E8FB2"/>
            </a:gs>
          </a:gsLst>
          <a:lin ang="3600000" scaled="1"/>
          <a:tileRect/>
        </a:gra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C 4</a:t>
          </a:r>
        </a:p>
      </xdr:txBody>
    </xdr:sp>
    <xdr:clientData/>
  </xdr:twoCellAnchor>
  <xdr:twoCellAnchor>
    <xdr:from>
      <xdr:col>3</xdr:col>
      <xdr:colOff>2034540</xdr:colOff>
      <xdr:row>29</xdr:row>
      <xdr:rowOff>22860</xdr:rowOff>
    </xdr:from>
    <xdr:to>
      <xdr:col>3</xdr:col>
      <xdr:colOff>2664540</xdr:colOff>
      <xdr:row>29</xdr:row>
      <xdr:rowOff>224028</xdr:rowOff>
    </xdr:to>
    <xdr:sp macro="" textlink="">
      <xdr:nvSpPr>
        <xdr:cNvPr id="1039" name="Rectangle : coins arrondis 1038" descr="Accès à la feuille C 5">
          <a:hlinkClick xmlns:r="http://schemas.openxmlformats.org/officeDocument/2006/relationships" r:id="rId12"/>
          <a:extLst>
            <a:ext uri="{FF2B5EF4-FFF2-40B4-BE49-F238E27FC236}">
              <a16:creationId xmlns:a16="http://schemas.microsoft.com/office/drawing/2014/main" id="{00000000-0008-0000-0000-00000F040000}"/>
            </a:ext>
          </a:extLst>
        </xdr:cNvPr>
        <xdr:cNvSpPr/>
      </xdr:nvSpPr>
      <xdr:spPr>
        <a:xfrm>
          <a:off x="7566660" y="12763500"/>
          <a:ext cx="630000" cy="201168"/>
        </a:xfrm>
        <a:prstGeom prst="roundRect">
          <a:avLst/>
        </a:prstGeom>
        <a:gradFill flip="none" rotWithShape="1">
          <a:gsLst>
            <a:gs pos="0">
              <a:srgbClr val="C1C2DA"/>
            </a:gs>
            <a:gs pos="47500">
              <a:srgbClr val="C1C2DA"/>
            </a:gs>
            <a:gs pos="58500">
              <a:srgbClr val="8E8FB2"/>
            </a:gs>
            <a:gs pos="100000">
              <a:srgbClr val="8E8FB2"/>
            </a:gs>
          </a:gsLst>
          <a:lin ang="3600000" scaled="1"/>
          <a:tileRect/>
        </a:gra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C 5</a:t>
          </a:r>
        </a:p>
      </xdr:txBody>
    </xdr:sp>
    <xdr:clientData/>
  </xdr:twoCellAnchor>
  <xdr:twoCellAnchor>
    <xdr:from>
      <xdr:col>3</xdr:col>
      <xdr:colOff>2034540</xdr:colOff>
      <xdr:row>30</xdr:row>
      <xdr:rowOff>22860</xdr:rowOff>
    </xdr:from>
    <xdr:to>
      <xdr:col>3</xdr:col>
      <xdr:colOff>2664540</xdr:colOff>
      <xdr:row>30</xdr:row>
      <xdr:rowOff>224029</xdr:rowOff>
    </xdr:to>
    <xdr:sp macro="" textlink="">
      <xdr:nvSpPr>
        <xdr:cNvPr id="1040" name="Rectangle : coins arrondis 1039" descr="Accès à la feuille C 6">
          <a:hlinkClick xmlns:r="http://schemas.openxmlformats.org/officeDocument/2006/relationships" r:id="rId13"/>
          <a:extLst>
            <a:ext uri="{FF2B5EF4-FFF2-40B4-BE49-F238E27FC236}">
              <a16:creationId xmlns:a16="http://schemas.microsoft.com/office/drawing/2014/main" id="{00000000-0008-0000-0000-000010040000}"/>
            </a:ext>
          </a:extLst>
        </xdr:cNvPr>
        <xdr:cNvSpPr/>
      </xdr:nvSpPr>
      <xdr:spPr>
        <a:xfrm>
          <a:off x="7566660" y="13014960"/>
          <a:ext cx="630000" cy="201169"/>
        </a:xfrm>
        <a:prstGeom prst="roundRect">
          <a:avLst/>
        </a:prstGeom>
        <a:gradFill flip="none" rotWithShape="1">
          <a:gsLst>
            <a:gs pos="0">
              <a:srgbClr val="C1C2DA"/>
            </a:gs>
            <a:gs pos="47500">
              <a:srgbClr val="C1C2DA"/>
            </a:gs>
            <a:gs pos="58500">
              <a:srgbClr val="8E8FB2"/>
            </a:gs>
            <a:gs pos="100000">
              <a:srgbClr val="8E8FB2"/>
            </a:gs>
          </a:gsLst>
          <a:lin ang="3600000" scaled="1"/>
          <a:tileRect/>
        </a:gra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C 6</a:t>
          </a:r>
        </a:p>
      </xdr:txBody>
    </xdr:sp>
    <xdr:clientData/>
  </xdr:twoCellAnchor>
  <xdr:twoCellAnchor>
    <xdr:from>
      <xdr:col>3</xdr:col>
      <xdr:colOff>2034540</xdr:colOff>
      <xdr:row>31</xdr:row>
      <xdr:rowOff>22860</xdr:rowOff>
    </xdr:from>
    <xdr:to>
      <xdr:col>3</xdr:col>
      <xdr:colOff>2664540</xdr:colOff>
      <xdr:row>31</xdr:row>
      <xdr:rowOff>224028</xdr:rowOff>
    </xdr:to>
    <xdr:sp macro="" textlink="">
      <xdr:nvSpPr>
        <xdr:cNvPr id="1041" name="Rectangle : coins arrondis 1040" descr="Accès à la feuille C 7">
          <a:hlinkClick xmlns:r="http://schemas.openxmlformats.org/officeDocument/2006/relationships" r:id="rId14"/>
          <a:extLst>
            <a:ext uri="{FF2B5EF4-FFF2-40B4-BE49-F238E27FC236}">
              <a16:creationId xmlns:a16="http://schemas.microsoft.com/office/drawing/2014/main" id="{00000000-0008-0000-0000-000011040000}"/>
            </a:ext>
          </a:extLst>
        </xdr:cNvPr>
        <xdr:cNvSpPr/>
      </xdr:nvSpPr>
      <xdr:spPr>
        <a:xfrm>
          <a:off x="7566660" y="13266420"/>
          <a:ext cx="630000" cy="201168"/>
        </a:xfrm>
        <a:prstGeom prst="roundRect">
          <a:avLst/>
        </a:prstGeom>
        <a:gradFill flip="none" rotWithShape="1">
          <a:gsLst>
            <a:gs pos="0">
              <a:srgbClr val="C1C2DA"/>
            </a:gs>
            <a:gs pos="47500">
              <a:srgbClr val="C1C2DA"/>
            </a:gs>
            <a:gs pos="58500">
              <a:srgbClr val="8E8FB2"/>
            </a:gs>
            <a:gs pos="100000">
              <a:srgbClr val="8E8FB2"/>
            </a:gs>
          </a:gsLst>
          <a:lin ang="3600000" scaled="1"/>
          <a:tileRect/>
        </a:gra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C 7</a:t>
          </a:r>
        </a:p>
      </xdr:txBody>
    </xdr:sp>
    <xdr:clientData/>
  </xdr:twoCellAnchor>
  <xdr:twoCellAnchor>
    <xdr:from>
      <xdr:col>3</xdr:col>
      <xdr:colOff>2034540</xdr:colOff>
      <xdr:row>32</xdr:row>
      <xdr:rowOff>22860</xdr:rowOff>
    </xdr:from>
    <xdr:to>
      <xdr:col>3</xdr:col>
      <xdr:colOff>2664540</xdr:colOff>
      <xdr:row>32</xdr:row>
      <xdr:rowOff>224028</xdr:rowOff>
    </xdr:to>
    <xdr:sp macro="" textlink="">
      <xdr:nvSpPr>
        <xdr:cNvPr id="1042" name="Rectangle : coins arrondis 1041" descr="Accès à la feuille C 8">
          <a:hlinkClick xmlns:r="http://schemas.openxmlformats.org/officeDocument/2006/relationships" r:id="rId15"/>
          <a:extLst>
            <a:ext uri="{FF2B5EF4-FFF2-40B4-BE49-F238E27FC236}">
              <a16:creationId xmlns:a16="http://schemas.microsoft.com/office/drawing/2014/main" id="{00000000-0008-0000-0000-000012040000}"/>
            </a:ext>
          </a:extLst>
        </xdr:cNvPr>
        <xdr:cNvSpPr/>
      </xdr:nvSpPr>
      <xdr:spPr>
        <a:xfrm>
          <a:off x="7566660" y="13517880"/>
          <a:ext cx="630000" cy="201168"/>
        </a:xfrm>
        <a:prstGeom prst="roundRect">
          <a:avLst/>
        </a:prstGeom>
        <a:gradFill flip="none" rotWithShape="1">
          <a:gsLst>
            <a:gs pos="0">
              <a:srgbClr val="C1C2DA"/>
            </a:gs>
            <a:gs pos="47500">
              <a:srgbClr val="C1C2DA"/>
            </a:gs>
            <a:gs pos="58500">
              <a:srgbClr val="8E8FB2"/>
            </a:gs>
            <a:gs pos="100000">
              <a:srgbClr val="8E8FB2"/>
            </a:gs>
          </a:gsLst>
          <a:lin ang="3600000" scaled="1"/>
          <a:tileRect/>
        </a:gra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C 8</a:t>
          </a:r>
        </a:p>
      </xdr:txBody>
    </xdr:sp>
    <xdr:clientData/>
  </xdr:twoCellAnchor>
  <xdr:twoCellAnchor>
    <xdr:from>
      <xdr:col>3</xdr:col>
      <xdr:colOff>2034540</xdr:colOff>
      <xdr:row>34</xdr:row>
      <xdr:rowOff>30481</xdr:rowOff>
    </xdr:from>
    <xdr:to>
      <xdr:col>3</xdr:col>
      <xdr:colOff>2664540</xdr:colOff>
      <xdr:row>34</xdr:row>
      <xdr:rowOff>231648</xdr:rowOff>
    </xdr:to>
    <xdr:sp macro="" textlink="">
      <xdr:nvSpPr>
        <xdr:cNvPr id="1043" name="Rectangle : coins arrondis 1042" descr="Accès à la feuille C 9">
          <a:hlinkClick xmlns:r="http://schemas.openxmlformats.org/officeDocument/2006/relationships" r:id="rId16"/>
          <a:extLst>
            <a:ext uri="{FF2B5EF4-FFF2-40B4-BE49-F238E27FC236}">
              <a16:creationId xmlns:a16="http://schemas.microsoft.com/office/drawing/2014/main" id="{00000000-0008-0000-0000-000013040000}"/>
            </a:ext>
          </a:extLst>
        </xdr:cNvPr>
        <xdr:cNvSpPr/>
      </xdr:nvSpPr>
      <xdr:spPr>
        <a:xfrm>
          <a:off x="7566660" y="14028421"/>
          <a:ext cx="630000" cy="201167"/>
        </a:xfrm>
        <a:prstGeom prst="roundRect">
          <a:avLst/>
        </a:prstGeom>
        <a:gradFill flip="none" rotWithShape="1">
          <a:gsLst>
            <a:gs pos="0">
              <a:srgbClr val="B1CCE6"/>
            </a:gs>
            <a:gs pos="47500">
              <a:srgbClr val="B1CCE6"/>
            </a:gs>
            <a:gs pos="58500">
              <a:srgbClr val="78A1C7"/>
            </a:gs>
            <a:gs pos="100000">
              <a:srgbClr val="78A1C7"/>
            </a:gs>
          </a:gsLst>
          <a:lin ang="3600000" scaled="1"/>
          <a:tileRect/>
        </a:gra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C 9</a:t>
          </a:r>
        </a:p>
      </xdr:txBody>
    </xdr:sp>
    <xdr:clientData/>
  </xdr:twoCellAnchor>
  <xdr:twoCellAnchor>
    <xdr:from>
      <xdr:col>3</xdr:col>
      <xdr:colOff>2034540</xdr:colOff>
      <xdr:row>35</xdr:row>
      <xdr:rowOff>30480</xdr:rowOff>
    </xdr:from>
    <xdr:to>
      <xdr:col>3</xdr:col>
      <xdr:colOff>2664540</xdr:colOff>
      <xdr:row>35</xdr:row>
      <xdr:rowOff>231647</xdr:rowOff>
    </xdr:to>
    <xdr:sp macro="" textlink="">
      <xdr:nvSpPr>
        <xdr:cNvPr id="1044" name="Rectangle : coins arrondis 1043" descr="Accès à la feuille C 10">
          <a:hlinkClick xmlns:r="http://schemas.openxmlformats.org/officeDocument/2006/relationships" r:id="rId17"/>
          <a:extLst>
            <a:ext uri="{FF2B5EF4-FFF2-40B4-BE49-F238E27FC236}">
              <a16:creationId xmlns:a16="http://schemas.microsoft.com/office/drawing/2014/main" id="{00000000-0008-0000-0000-000014040000}"/>
            </a:ext>
          </a:extLst>
        </xdr:cNvPr>
        <xdr:cNvSpPr/>
      </xdr:nvSpPr>
      <xdr:spPr>
        <a:xfrm>
          <a:off x="7566660" y="14279880"/>
          <a:ext cx="630000" cy="201167"/>
        </a:xfrm>
        <a:prstGeom prst="roundRect">
          <a:avLst/>
        </a:prstGeom>
        <a:gradFill flip="none" rotWithShape="1">
          <a:gsLst>
            <a:gs pos="0">
              <a:srgbClr val="B1CCE6"/>
            </a:gs>
            <a:gs pos="47500">
              <a:srgbClr val="B1CCE6"/>
            </a:gs>
            <a:gs pos="58500">
              <a:srgbClr val="78A1C7"/>
            </a:gs>
            <a:gs pos="100000">
              <a:srgbClr val="78A1C7"/>
            </a:gs>
          </a:gsLst>
          <a:lin ang="3600000" scaled="1"/>
          <a:tileRect/>
        </a:gra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C 10</a:t>
          </a:r>
        </a:p>
      </xdr:txBody>
    </xdr:sp>
    <xdr:clientData/>
  </xdr:twoCellAnchor>
  <xdr:twoCellAnchor>
    <xdr:from>
      <xdr:col>3</xdr:col>
      <xdr:colOff>2034540</xdr:colOff>
      <xdr:row>37</xdr:row>
      <xdr:rowOff>30480</xdr:rowOff>
    </xdr:from>
    <xdr:to>
      <xdr:col>3</xdr:col>
      <xdr:colOff>2664540</xdr:colOff>
      <xdr:row>37</xdr:row>
      <xdr:rowOff>231648</xdr:rowOff>
    </xdr:to>
    <xdr:sp macro="" textlink="">
      <xdr:nvSpPr>
        <xdr:cNvPr id="1045" name="Rectangle : coins arrondis 1044" descr="Accès à la feuille C 11">
          <a:hlinkClick xmlns:r="http://schemas.openxmlformats.org/officeDocument/2006/relationships" r:id="rId18"/>
          <a:extLst>
            <a:ext uri="{FF2B5EF4-FFF2-40B4-BE49-F238E27FC236}">
              <a16:creationId xmlns:a16="http://schemas.microsoft.com/office/drawing/2014/main" id="{00000000-0008-0000-0000-000015040000}"/>
            </a:ext>
          </a:extLst>
        </xdr:cNvPr>
        <xdr:cNvSpPr/>
      </xdr:nvSpPr>
      <xdr:spPr>
        <a:xfrm>
          <a:off x="7566660" y="14782800"/>
          <a:ext cx="630000" cy="201168"/>
        </a:xfrm>
        <a:prstGeom prst="roundRect">
          <a:avLst/>
        </a:prstGeom>
        <a:gradFill flip="none" rotWithShape="1">
          <a:gsLst>
            <a:gs pos="0">
              <a:srgbClr val="C0EAED"/>
            </a:gs>
            <a:gs pos="47500">
              <a:srgbClr val="C0EAED"/>
            </a:gs>
            <a:gs pos="58500">
              <a:srgbClr val="74B4B9"/>
            </a:gs>
            <a:gs pos="100000">
              <a:srgbClr val="74B4B9"/>
            </a:gs>
          </a:gsLst>
          <a:lin ang="3600000" scaled="1"/>
          <a:tileRect/>
        </a:gra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C 11</a:t>
          </a:r>
        </a:p>
      </xdr:txBody>
    </xdr:sp>
    <xdr:clientData/>
  </xdr:twoCellAnchor>
  <xdr:twoCellAnchor>
    <xdr:from>
      <xdr:col>3</xdr:col>
      <xdr:colOff>2034540</xdr:colOff>
      <xdr:row>39</xdr:row>
      <xdr:rowOff>30479</xdr:rowOff>
    </xdr:from>
    <xdr:to>
      <xdr:col>3</xdr:col>
      <xdr:colOff>2664540</xdr:colOff>
      <xdr:row>39</xdr:row>
      <xdr:rowOff>231647</xdr:rowOff>
    </xdr:to>
    <xdr:sp macro="" textlink="">
      <xdr:nvSpPr>
        <xdr:cNvPr id="1046" name="Rectangle : coins arrondis 1045" descr="Accès à la feuille C 12">
          <a:hlinkClick xmlns:r="http://schemas.openxmlformats.org/officeDocument/2006/relationships" r:id="rId19"/>
          <a:extLst>
            <a:ext uri="{FF2B5EF4-FFF2-40B4-BE49-F238E27FC236}">
              <a16:creationId xmlns:a16="http://schemas.microsoft.com/office/drawing/2014/main" id="{00000000-0008-0000-0000-000016040000}"/>
            </a:ext>
          </a:extLst>
        </xdr:cNvPr>
        <xdr:cNvSpPr/>
      </xdr:nvSpPr>
      <xdr:spPr>
        <a:xfrm>
          <a:off x="7566660" y="15285719"/>
          <a:ext cx="630000" cy="201168"/>
        </a:xfrm>
        <a:prstGeom prst="roundRect">
          <a:avLst/>
        </a:prstGeom>
        <a:gradFill flip="none" rotWithShape="1">
          <a:gsLst>
            <a:gs pos="0">
              <a:srgbClr val="CFCECE"/>
            </a:gs>
            <a:gs pos="47500">
              <a:srgbClr val="CFCECE"/>
            </a:gs>
            <a:gs pos="58500">
              <a:srgbClr val="999999"/>
            </a:gs>
            <a:gs pos="100000">
              <a:srgbClr val="999999"/>
            </a:gs>
          </a:gsLst>
          <a:lin ang="3600000" scaled="1"/>
          <a:tileRect/>
        </a:gra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C 12</a:t>
          </a:r>
        </a:p>
      </xdr:txBody>
    </xdr:sp>
    <xdr:clientData/>
  </xdr:twoCellAnchor>
  <xdr:twoCellAnchor>
    <xdr:from>
      <xdr:col>3</xdr:col>
      <xdr:colOff>2034540</xdr:colOff>
      <xdr:row>40</xdr:row>
      <xdr:rowOff>30480</xdr:rowOff>
    </xdr:from>
    <xdr:to>
      <xdr:col>3</xdr:col>
      <xdr:colOff>2664540</xdr:colOff>
      <xdr:row>40</xdr:row>
      <xdr:rowOff>231648</xdr:rowOff>
    </xdr:to>
    <xdr:sp macro="" textlink="">
      <xdr:nvSpPr>
        <xdr:cNvPr id="1047" name="Rectangle : coins arrondis 1046" descr="Accès à la feuille C 13">
          <a:hlinkClick xmlns:r="http://schemas.openxmlformats.org/officeDocument/2006/relationships" r:id="rId20"/>
          <a:extLst>
            <a:ext uri="{FF2B5EF4-FFF2-40B4-BE49-F238E27FC236}">
              <a16:creationId xmlns:a16="http://schemas.microsoft.com/office/drawing/2014/main" id="{00000000-0008-0000-0000-000017040000}"/>
            </a:ext>
          </a:extLst>
        </xdr:cNvPr>
        <xdr:cNvSpPr/>
      </xdr:nvSpPr>
      <xdr:spPr>
        <a:xfrm>
          <a:off x="7566660" y="15537180"/>
          <a:ext cx="630000" cy="201168"/>
        </a:xfrm>
        <a:prstGeom prst="roundRect">
          <a:avLst/>
        </a:prstGeom>
        <a:gradFill flip="none" rotWithShape="1">
          <a:gsLst>
            <a:gs pos="0">
              <a:srgbClr val="CFCECE"/>
            </a:gs>
            <a:gs pos="47500">
              <a:srgbClr val="CFCECE"/>
            </a:gs>
            <a:gs pos="58500">
              <a:srgbClr val="999999"/>
            </a:gs>
            <a:gs pos="100000">
              <a:srgbClr val="999999"/>
            </a:gs>
          </a:gsLst>
          <a:lin ang="3600000" scaled="1"/>
          <a:tileRect/>
        </a:gra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C 13</a:t>
          </a:r>
        </a:p>
      </xdr:txBody>
    </xdr:sp>
    <xdr:clientData/>
  </xdr:twoCellAnchor>
  <xdr:twoCellAnchor>
    <xdr:from>
      <xdr:col>3</xdr:col>
      <xdr:colOff>1173480</xdr:colOff>
      <xdr:row>41</xdr:row>
      <xdr:rowOff>30481</xdr:rowOff>
    </xdr:from>
    <xdr:to>
      <xdr:col>3</xdr:col>
      <xdr:colOff>2666820</xdr:colOff>
      <xdr:row>41</xdr:row>
      <xdr:rowOff>239100</xdr:rowOff>
    </xdr:to>
    <xdr:sp macro="" textlink="">
      <xdr:nvSpPr>
        <xdr:cNvPr id="1048" name="Rectangle : coins arrondis 1047" descr="Accès à la feuille Bilan formatif">
          <a:hlinkClick xmlns:r="http://schemas.openxmlformats.org/officeDocument/2006/relationships" r:id="rId21"/>
          <a:extLst>
            <a:ext uri="{FF2B5EF4-FFF2-40B4-BE49-F238E27FC236}">
              <a16:creationId xmlns:a16="http://schemas.microsoft.com/office/drawing/2014/main" id="{00000000-0008-0000-0000-000018040000}"/>
            </a:ext>
          </a:extLst>
        </xdr:cNvPr>
        <xdr:cNvSpPr/>
      </xdr:nvSpPr>
      <xdr:spPr>
        <a:xfrm>
          <a:off x="6705600" y="15933421"/>
          <a:ext cx="1493340" cy="208619"/>
        </a:xfrm>
        <a:prstGeom prst="roundRect">
          <a:avLst/>
        </a:prstGeom>
        <a:solidFill>
          <a:srgbClr val="74B4B9"/>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Bilan formatif</a:t>
          </a:r>
        </a:p>
      </xdr:txBody>
    </xdr:sp>
    <xdr:clientData/>
  </xdr:twoCellAnchor>
  <xdr:twoCellAnchor>
    <xdr:from>
      <xdr:col>3</xdr:col>
      <xdr:colOff>1181100</xdr:colOff>
      <xdr:row>42</xdr:row>
      <xdr:rowOff>30480</xdr:rowOff>
    </xdr:from>
    <xdr:to>
      <xdr:col>3</xdr:col>
      <xdr:colOff>2666820</xdr:colOff>
      <xdr:row>42</xdr:row>
      <xdr:rowOff>238034</xdr:rowOff>
    </xdr:to>
    <xdr:sp macro="" textlink="">
      <xdr:nvSpPr>
        <xdr:cNvPr id="1049" name="Rectangle : coins arrondis 1048" descr="Accès à la feuille Bilan sommatif">
          <a:hlinkClick xmlns:r="http://schemas.openxmlformats.org/officeDocument/2006/relationships" r:id="rId22"/>
          <a:extLst>
            <a:ext uri="{FF2B5EF4-FFF2-40B4-BE49-F238E27FC236}">
              <a16:creationId xmlns:a16="http://schemas.microsoft.com/office/drawing/2014/main" id="{00000000-0008-0000-0000-000019040000}"/>
            </a:ext>
          </a:extLst>
        </xdr:cNvPr>
        <xdr:cNvSpPr/>
      </xdr:nvSpPr>
      <xdr:spPr>
        <a:xfrm>
          <a:off x="6713220" y="16184880"/>
          <a:ext cx="1485720" cy="207554"/>
        </a:xfrm>
        <a:prstGeom prst="roundRect">
          <a:avLst/>
        </a:prstGeom>
        <a:solidFill>
          <a:srgbClr val="74B4B9"/>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Bilan sommatif</a:t>
          </a:r>
        </a:p>
      </xdr:txBody>
    </xdr:sp>
    <xdr:clientData/>
  </xdr:twoCellAnchor>
  <xdr:twoCellAnchor>
    <xdr:from>
      <xdr:col>3</xdr:col>
      <xdr:colOff>1168400</xdr:colOff>
      <xdr:row>43</xdr:row>
      <xdr:rowOff>10160</xdr:rowOff>
    </xdr:from>
    <xdr:to>
      <xdr:col>3</xdr:col>
      <xdr:colOff>2674440</xdr:colOff>
      <xdr:row>44</xdr:row>
      <xdr:rowOff>203200</xdr:rowOff>
    </xdr:to>
    <xdr:sp macro="" textlink="">
      <xdr:nvSpPr>
        <xdr:cNvPr id="1052" name="Rectangle : coins arrondis 1051" descr="Accès à la feuille Bilan total">
          <a:hlinkClick xmlns:r="http://schemas.openxmlformats.org/officeDocument/2006/relationships" r:id="rId23"/>
          <a:extLst>
            <a:ext uri="{FF2B5EF4-FFF2-40B4-BE49-F238E27FC236}">
              <a16:creationId xmlns:a16="http://schemas.microsoft.com/office/drawing/2014/main" id="{00000000-0008-0000-0000-00001C040000}"/>
            </a:ext>
          </a:extLst>
        </xdr:cNvPr>
        <xdr:cNvSpPr/>
      </xdr:nvSpPr>
      <xdr:spPr>
        <a:xfrm>
          <a:off x="6705600" y="17028160"/>
          <a:ext cx="1506040" cy="447040"/>
        </a:xfrm>
        <a:prstGeom prst="roundRect">
          <a:avLst/>
        </a:prstGeom>
        <a:solidFill>
          <a:srgbClr val="74B4B9"/>
        </a:solidFill>
        <a:ln>
          <a:solidFill>
            <a:srgbClr val="74B4B9"/>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lang="fr-CA" sz="1000" b="1" spc="200" baseline="0">
              <a:solidFill>
                <a:schemeClr val="tx1">
                  <a:lumMod val="95000"/>
                  <a:lumOff val="5000"/>
                </a:schemeClr>
              </a:solidFill>
              <a:latin typeface="+mn-lt"/>
              <a:ea typeface="+mn-ea"/>
              <a:cs typeface="+mn-cs"/>
            </a:rPr>
            <a:t>Bilan formatif-sommatif</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61</xdr:row>
      <xdr:rowOff>25111</xdr:rowOff>
    </xdr:from>
    <xdr:to>
      <xdr:col>1</xdr:col>
      <xdr:colOff>1412875</xdr:colOff>
      <xdr:row>61</xdr:row>
      <xdr:rowOff>2000074</xdr:rowOff>
    </xdr:to>
    <xdr:sp macro="" textlink="">
      <xdr:nvSpPr>
        <xdr:cNvPr id="23" name="Text Box 12">
          <a:extLst>
            <a:ext uri="{FF2B5EF4-FFF2-40B4-BE49-F238E27FC236}">
              <a16:creationId xmlns:a16="http://schemas.microsoft.com/office/drawing/2014/main" id="{00000000-0008-0000-0A00-000017000000}"/>
            </a:ext>
          </a:extLst>
        </xdr:cNvPr>
        <xdr:cNvSpPr txBox="1">
          <a:spLocks noChangeArrowheads="1"/>
        </xdr:cNvSpPr>
      </xdr:nvSpPr>
      <xdr:spPr bwMode="auto">
        <a:xfrm>
          <a:off x="0" y="24104311"/>
          <a:ext cx="3407930" cy="1974963"/>
        </a:xfrm>
        <a:prstGeom prst="rect">
          <a:avLst/>
        </a:prstGeom>
        <a:solidFill>
          <a:srgbClr val="B1CCE6"/>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F</a:t>
          </a:r>
          <a:endParaRPr lang="fr-CA" sz="1200">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CA" sz="1100">
            <a:solidFill>
              <a:srgbClr val="000000"/>
            </a:solidFill>
            <a:effectLst/>
            <a:latin typeface="+mn-lt"/>
            <a:ea typeface="+mn-ea"/>
            <a:cs typeface="+mn-cs"/>
          </a:endParaRPr>
        </a:p>
        <a:p>
          <a:pPr lvl="0"/>
          <a:r>
            <a:rPr lang="fr-CA" sz="1100">
              <a:solidFill>
                <a:srgbClr val="000000"/>
              </a:solidFill>
              <a:effectLst/>
              <a:latin typeface="+mn-lt"/>
              <a:ea typeface="+mn-ea"/>
              <a:cs typeface="+mn-cs"/>
            </a:rPr>
            <a:t>Travailler avec l’équipe enseignante, le cas échéant, à la conception de situations d’enseignement et d’apprentissage et à l’évaluation des apprentissages en conformité avec les normes et modalités d’évaluation des apprentissages en vigueur à l’école.</a:t>
          </a:r>
        </a:p>
        <a:p>
          <a:endParaRPr lang="fr-CA" sz="1100">
            <a:solidFill>
              <a:srgbClr val="000000"/>
            </a:solidFill>
            <a:effectLst/>
            <a:latin typeface="+mn-lt"/>
            <a:ea typeface="+mn-ea"/>
            <a:cs typeface="+mn-cs"/>
          </a:endParaRPr>
        </a:p>
      </xdr:txBody>
    </xdr:sp>
    <xdr:clientData fPrintsWithSheet="0"/>
  </xdr:twoCellAnchor>
  <xdr:twoCellAnchor>
    <xdr:from>
      <xdr:col>0</xdr:col>
      <xdr:colOff>0</xdr:colOff>
      <xdr:row>65</xdr:row>
      <xdr:rowOff>38100</xdr:rowOff>
    </xdr:from>
    <xdr:to>
      <xdr:col>1</xdr:col>
      <xdr:colOff>1412875</xdr:colOff>
      <xdr:row>65</xdr:row>
      <xdr:rowOff>2013063</xdr:rowOff>
    </xdr:to>
    <xdr:sp macro="" textlink="">
      <xdr:nvSpPr>
        <xdr:cNvPr id="25" name="Text Box 12">
          <a:extLst>
            <a:ext uri="{FF2B5EF4-FFF2-40B4-BE49-F238E27FC236}">
              <a16:creationId xmlns:a16="http://schemas.microsoft.com/office/drawing/2014/main" id="{00000000-0008-0000-0A00-000019000000}"/>
            </a:ext>
          </a:extLst>
        </xdr:cNvPr>
        <xdr:cNvSpPr txBox="1">
          <a:spLocks noChangeArrowheads="1"/>
        </xdr:cNvSpPr>
      </xdr:nvSpPr>
      <xdr:spPr bwMode="auto">
        <a:xfrm>
          <a:off x="0" y="26749664"/>
          <a:ext cx="3407930" cy="1974963"/>
        </a:xfrm>
        <a:prstGeom prst="rect">
          <a:avLst/>
        </a:prstGeom>
        <a:solidFill>
          <a:srgbClr val="B1CCE6"/>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G</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Participer à l’élaboration et à la mise en œuvre de mesures fondées sur les besoins de groupes minorisés ou en difficulté à l’école, le cas échéant..</a:t>
          </a:r>
        </a:p>
        <a:p>
          <a:endParaRPr lang="fr-CA" sz="1100">
            <a:solidFill>
              <a:srgbClr val="000000"/>
            </a:solidFill>
            <a:effectLst/>
            <a:latin typeface="+mn-lt"/>
            <a:ea typeface="+mn-ea"/>
            <a:cs typeface="+mn-cs"/>
          </a:endParaRPr>
        </a:p>
      </xdr:txBody>
    </xdr:sp>
    <xdr:clientData fPrintsWithSheet="0"/>
  </xdr:twoCellAnchor>
  <xdr:twoCellAnchor>
    <xdr:from>
      <xdr:col>0</xdr:col>
      <xdr:colOff>0</xdr:colOff>
      <xdr:row>69</xdr:row>
      <xdr:rowOff>20783</xdr:rowOff>
    </xdr:from>
    <xdr:to>
      <xdr:col>1</xdr:col>
      <xdr:colOff>1412875</xdr:colOff>
      <xdr:row>69</xdr:row>
      <xdr:rowOff>1995746</xdr:rowOff>
    </xdr:to>
    <xdr:sp macro="" textlink="">
      <xdr:nvSpPr>
        <xdr:cNvPr id="27" name="Text Box 12">
          <a:extLst>
            <a:ext uri="{FF2B5EF4-FFF2-40B4-BE49-F238E27FC236}">
              <a16:creationId xmlns:a16="http://schemas.microsoft.com/office/drawing/2014/main" id="{00000000-0008-0000-0A00-00001B000000}"/>
            </a:ext>
          </a:extLst>
        </xdr:cNvPr>
        <xdr:cNvSpPr txBox="1">
          <a:spLocks noChangeArrowheads="1"/>
        </xdr:cNvSpPr>
      </xdr:nvSpPr>
      <xdr:spPr bwMode="auto">
        <a:xfrm>
          <a:off x="0" y="29364710"/>
          <a:ext cx="3407930" cy="1974963"/>
        </a:xfrm>
        <a:prstGeom prst="rect">
          <a:avLst/>
        </a:prstGeom>
        <a:solidFill>
          <a:srgbClr val="B1CCE6"/>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H</a:t>
          </a:r>
          <a:endParaRPr lang="fr-CA" sz="1200">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Participer à l’élaboration, à la mise en œuvre, au suivi et à la révision des plans d’intervention ou des plans d’aide à l’apprentissage.</a:t>
          </a:r>
        </a:p>
        <a:p>
          <a:endParaRPr lang="fr-CA" sz="1100">
            <a:solidFill>
              <a:srgbClr val="000000"/>
            </a:solidFill>
            <a:effectLst/>
            <a:latin typeface="+mn-lt"/>
            <a:ea typeface="+mn-ea"/>
            <a:cs typeface="+mn-cs"/>
          </a:endParaRPr>
        </a:p>
      </xdr:txBody>
    </xdr:sp>
    <xdr:clientData fPrintsWithSheet="0"/>
  </xdr:twoCellAnchor>
  <xdr:oneCellAnchor>
    <xdr:from>
      <xdr:col>0</xdr:col>
      <xdr:colOff>76200</xdr:colOff>
      <xdr:row>0</xdr:row>
      <xdr:rowOff>38100</xdr:rowOff>
    </xdr:from>
    <xdr:ext cx="1358900" cy="736600"/>
    <xdr:pic>
      <xdr:nvPicPr>
        <xdr:cNvPr id="2" name="logo_teluq_nb.eps" descr="Logo de l'Université TÉLUQ.">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38100"/>
          <a:ext cx="1358900" cy="736600"/>
        </a:xfrm>
        <a:prstGeom prst="rect">
          <a:avLst/>
        </a:prstGeom>
      </xdr:spPr>
    </xdr:pic>
    <xdr:clientData/>
  </xdr:oneCellAnchor>
  <xdr:twoCellAnchor>
    <xdr:from>
      <xdr:col>0</xdr:col>
      <xdr:colOff>0</xdr:colOff>
      <xdr:row>4</xdr:row>
      <xdr:rowOff>119744</xdr:rowOff>
    </xdr:from>
    <xdr:to>
      <xdr:col>9</xdr:col>
      <xdr:colOff>30480</xdr:colOff>
      <xdr:row>12</xdr:row>
      <xdr:rowOff>59873</xdr:rowOff>
    </xdr:to>
    <xdr:sp macro="" textlink="">
      <xdr:nvSpPr>
        <xdr:cNvPr id="3" name="Text Box 12">
          <a:extLst>
            <a:ext uri="{FF2B5EF4-FFF2-40B4-BE49-F238E27FC236}">
              <a16:creationId xmlns:a16="http://schemas.microsoft.com/office/drawing/2014/main" id="{00000000-0008-0000-0A00-000003000000}"/>
            </a:ext>
          </a:extLst>
        </xdr:cNvPr>
        <xdr:cNvSpPr txBox="1">
          <a:spLocks noChangeArrowheads="1"/>
        </xdr:cNvSpPr>
      </xdr:nvSpPr>
      <xdr:spPr bwMode="auto">
        <a:xfrm>
          <a:off x="0" y="1121230"/>
          <a:ext cx="15455537" cy="1333500"/>
        </a:xfrm>
        <a:prstGeom prst="rect">
          <a:avLst/>
        </a:prstGeom>
        <a:solidFill>
          <a:srgbClr val="B1CCE6"/>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a:r>
            <a:rPr lang="en-US" sz="1800" b="1" i="0" u="none" strike="noStrike" cap="all" baseline="0">
              <a:solidFill>
                <a:srgbClr val="000000"/>
              </a:solidFill>
              <a:effectLst/>
              <a:latin typeface="+mn-lt"/>
              <a:ea typeface="+mn-ea"/>
              <a:cs typeface="Arial"/>
            </a:rPr>
            <a:t>Champ 2 : deux compétences à la base du professionnalisme collaboratif</a:t>
          </a:r>
        </a:p>
        <a:p>
          <a:pPr marL="0" indent="0" algn="l"/>
          <a:endParaRPr lang="en-US" sz="1400" b="1" i="0" u="none" strike="noStrike" baseline="0">
            <a:solidFill>
              <a:srgbClr val="000000"/>
            </a:solidFill>
            <a:effectLst/>
            <a:latin typeface="Arial"/>
            <a:ea typeface="+mn-ea"/>
            <a:cs typeface="Arial"/>
          </a:endParaRPr>
        </a:p>
        <a:p>
          <a:pPr algn="l"/>
          <a:r>
            <a:rPr lang="en-US" sz="1400" b="1" i="0" u="none" strike="noStrike" baseline="0">
              <a:solidFill>
                <a:srgbClr val="000000"/>
              </a:solidFill>
              <a:effectLst/>
              <a:latin typeface="Arial"/>
              <a:ea typeface="+mn-ea"/>
              <a:cs typeface="Arial"/>
            </a:rPr>
            <a:t>Compétence 9 : </a:t>
          </a:r>
          <a:r>
            <a:rPr lang="fr-CA" sz="1400" b="1">
              <a:solidFill>
                <a:srgbClr val="000000"/>
              </a:solidFill>
              <a:effectLst/>
              <a:latin typeface="+mn-lt"/>
              <a:ea typeface="+mn-ea"/>
              <a:cs typeface="+mn-cs"/>
            </a:rPr>
            <a:t>S’impliquer activement au sein de l’équipe-école</a:t>
          </a:r>
        </a:p>
        <a:p>
          <a:pPr algn="l"/>
          <a:r>
            <a:rPr lang="fr-CA" sz="1400" i="1">
              <a:solidFill>
                <a:srgbClr val="000000"/>
              </a:solidFill>
              <a:effectLst/>
              <a:latin typeface="+mn-lt"/>
              <a:ea typeface="+mn-ea"/>
              <a:cs typeface="+mn-cs"/>
            </a:rPr>
            <a:t>Inscrire son intervention dans un cadre collectif, au service de la complémentarité et de la continuité des enseignements comme des actions éducatives.</a:t>
          </a:r>
        </a:p>
      </xdr:txBody>
    </xdr:sp>
    <xdr:clientData fPrintsWithSheet="0"/>
  </xdr:twoCellAnchor>
  <xdr:twoCellAnchor editAs="oneCell">
    <xdr:from>
      <xdr:col>5</xdr:col>
      <xdr:colOff>1981200</xdr:colOff>
      <xdr:row>22</xdr:row>
      <xdr:rowOff>172205</xdr:rowOff>
    </xdr:from>
    <xdr:to>
      <xdr:col>6</xdr:col>
      <xdr:colOff>131263</xdr:colOff>
      <xdr:row>23</xdr:row>
      <xdr:rowOff>236885</xdr:rowOff>
    </xdr:to>
    <xdr:pic>
      <xdr:nvPicPr>
        <xdr:cNvPr id="7" name="Image 3">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2"/>
        <a:stretch>
          <a:fillRect/>
        </a:stretch>
      </xdr:blipFill>
      <xdr:spPr>
        <a:xfrm>
          <a:off x="8199120" y="5803385"/>
          <a:ext cx="260803" cy="239940"/>
        </a:xfrm>
        <a:prstGeom prst="rect">
          <a:avLst/>
        </a:prstGeom>
      </xdr:spPr>
    </xdr:pic>
    <xdr:clientData/>
  </xdr:twoCellAnchor>
  <xdr:twoCellAnchor editAs="oneCell">
    <xdr:from>
      <xdr:col>8</xdr:col>
      <xdr:colOff>878114</xdr:colOff>
      <xdr:row>5</xdr:row>
      <xdr:rowOff>18143</xdr:rowOff>
    </xdr:from>
    <xdr:to>
      <xdr:col>8</xdr:col>
      <xdr:colOff>1430564</xdr:colOff>
      <xdr:row>7</xdr:row>
      <xdr:rowOff>143604</xdr:rowOff>
    </xdr:to>
    <xdr:pic>
      <xdr:nvPicPr>
        <xdr:cNvPr id="18" name="Image 17">
          <a:extLst>
            <a:ext uri="{FF2B5EF4-FFF2-40B4-BE49-F238E27FC236}">
              <a16:creationId xmlns:a16="http://schemas.microsoft.com/office/drawing/2014/main" id="{00000000-0008-0000-0A00-000012000000}"/>
            </a:ext>
          </a:extLst>
        </xdr:cNvPr>
        <xdr:cNvPicPr>
          <a:picLocks noChangeAspect="1"/>
        </xdr:cNvPicPr>
      </xdr:nvPicPr>
      <xdr:blipFill>
        <a:blip xmlns:r="http://schemas.openxmlformats.org/officeDocument/2006/relationships" r:embed="rId3"/>
        <a:stretch>
          <a:fillRect/>
        </a:stretch>
      </xdr:blipFill>
      <xdr:spPr>
        <a:xfrm>
          <a:off x="14648543" y="1204686"/>
          <a:ext cx="552450" cy="473804"/>
        </a:xfrm>
        <a:prstGeom prst="rect">
          <a:avLst/>
        </a:prstGeom>
      </xdr:spPr>
    </xdr:pic>
    <xdr:clientData/>
  </xdr:twoCellAnchor>
  <xdr:twoCellAnchor>
    <xdr:from>
      <xdr:col>0</xdr:col>
      <xdr:colOff>0</xdr:colOff>
      <xdr:row>41</xdr:row>
      <xdr:rowOff>82437</xdr:rowOff>
    </xdr:from>
    <xdr:to>
      <xdr:col>1</xdr:col>
      <xdr:colOff>1412875</xdr:colOff>
      <xdr:row>42</xdr:row>
      <xdr:rowOff>76200</xdr:rowOff>
    </xdr:to>
    <xdr:sp macro="" textlink="">
      <xdr:nvSpPr>
        <xdr:cNvPr id="6" name="Text Box 12">
          <a:extLst>
            <a:ext uri="{FF2B5EF4-FFF2-40B4-BE49-F238E27FC236}">
              <a16:creationId xmlns:a16="http://schemas.microsoft.com/office/drawing/2014/main" id="{00000000-0008-0000-0A00-000006000000}"/>
            </a:ext>
          </a:extLst>
        </xdr:cNvPr>
        <xdr:cNvSpPr txBox="1">
          <a:spLocks noChangeArrowheads="1"/>
        </xdr:cNvSpPr>
      </xdr:nvSpPr>
      <xdr:spPr bwMode="auto">
        <a:xfrm>
          <a:off x="0" y="10653455"/>
          <a:ext cx="3407930" cy="1947254"/>
        </a:xfrm>
        <a:prstGeom prst="rect">
          <a:avLst/>
        </a:prstGeom>
        <a:solidFill>
          <a:srgbClr val="B1CCE6"/>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pPr marL="0" indent="0"/>
          <a:r>
            <a:rPr lang="fr-CA" sz="1200" b="1" i="0" u="dbl" strike="noStrike" baseline="0">
              <a:solidFill>
                <a:srgbClr val="000000"/>
              </a:solidFill>
              <a:effectLst/>
              <a:latin typeface="Arial"/>
              <a:ea typeface="+mn-ea"/>
              <a:cs typeface="Arial"/>
            </a:rPr>
            <a:t>Dimension A</a:t>
          </a:r>
        </a:p>
        <a:p>
          <a:pPr marL="0" indent="0"/>
          <a:endParaRPr lang="fr-CA" sz="1200" b="1" i="0" u="dbl" strike="noStrike" baseline="0">
            <a:solidFill>
              <a:srgbClr val="000000"/>
            </a:solidFill>
            <a:effectLst/>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Collaborer avec les membres de l’équipe-école à la définition et au respect des orientations éducatives et des normes qui font de l’école un milieu sain, sécuritaire et équitable.</a:t>
          </a:r>
        </a:p>
        <a:p>
          <a:pPr marL="0" indent="0"/>
          <a:endParaRPr lang="fr-CA" sz="1200" b="1" i="0" u="dbl" strike="noStrike" baseline="0">
            <a:solidFill>
              <a:srgbClr val="000000"/>
            </a:solidFill>
            <a:effectLst/>
            <a:latin typeface="Arial"/>
            <a:ea typeface="+mn-ea"/>
            <a:cs typeface="Arial"/>
          </a:endParaRPr>
        </a:p>
      </xdr:txBody>
    </xdr:sp>
    <xdr:clientData fPrintsWithSheet="0"/>
  </xdr:twoCellAnchor>
  <xdr:twoCellAnchor>
    <xdr:from>
      <xdr:col>0</xdr:col>
      <xdr:colOff>0</xdr:colOff>
      <xdr:row>45</xdr:row>
      <xdr:rowOff>82437</xdr:rowOff>
    </xdr:from>
    <xdr:to>
      <xdr:col>1</xdr:col>
      <xdr:colOff>1412875</xdr:colOff>
      <xdr:row>45</xdr:row>
      <xdr:rowOff>1866900</xdr:rowOff>
    </xdr:to>
    <xdr:sp macro="" textlink="">
      <xdr:nvSpPr>
        <xdr:cNvPr id="11" name="Text Box 12">
          <a:extLst>
            <a:ext uri="{FF2B5EF4-FFF2-40B4-BE49-F238E27FC236}">
              <a16:creationId xmlns:a16="http://schemas.microsoft.com/office/drawing/2014/main" id="{00000000-0008-0000-0A00-00000B000000}"/>
            </a:ext>
          </a:extLst>
        </xdr:cNvPr>
        <xdr:cNvSpPr txBox="1">
          <a:spLocks noChangeArrowheads="1"/>
        </xdr:cNvSpPr>
      </xdr:nvSpPr>
      <xdr:spPr bwMode="auto">
        <a:xfrm>
          <a:off x="0" y="13396655"/>
          <a:ext cx="3407930" cy="1784463"/>
        </a:xfrm>
        <a:prstGeom prst="rect">
          <a:avLst/>
        </a:prstGeom>
        <a:solidFill>
          <a:srgbClr val="B1CCE6"/>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B</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Contribuer à l’élaboration, à la mise en œuvre et à l’évaluation des politiques, des pratiques et des règlements qui régissent le fonctionnement de l’école.</a:t>
          </a:r>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0</xdr:colOff>
      <xdr:row>49</xdr:row>
      <xdr:rowOff>82437</xdr:rowOff>
    </xdr:from>
    <xdr:to>
      <xdr:col>1</xdr:col>
      <xdr:colOff>1412875</xdr:colOff>
      <xdr:row>49</xdr:row>
      <xdr:rowOff>1828800</xdr:rowOff>
    </xdr:to>
    <xdr:sp macro="" textlink="">
      <xdr:nvSpPr>
        <xdr:cNvPr id="14" name="Text Box 12">
          <a:extLst>
            <a:ext uri="{FF2B5EF4-FFF2-40B4-BE49-F238E27FC236}">
              <a16:creationId xmlns:a16="http://schemas.microsoft.com/office/drawing/2014/main" id="{00000000-0008-0000-0A00-00000E000000}"/>
            </a:ext>
          </a:extLst>
        </xdr:cNvPr>
        <xdr:cNvSpPr txBox="1">
          <a:spLocks noChangeArrowheads="1"/>
        </xdr:cNvSpPr>
      </xdr:nvSpPr>
      <xdr:spPr bwMode="auto">
        <a:xfrm>
          <a:off x="0" y="16278401"/>
          <a:ext cx="3407930" cy="1746363"/>
        </a:xfrm>
        <a:prstGeom prst="rect">
          <a:avLst/>
        </a:prstGeom>
        <a:solidFill>
          <a:srgbClr val="B1CCE6"/>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C</a:t>
          </a:r>
          <a:endParaRPr lang="fr-CA" sz="1200">
            <a:solidFill>
              <a:srgbClr val="000000"/>
            </a:solidFill>
            <a:effectLst/>
          </a:endParaRPr>
        </a:p>
        <a:p>
          <a:endParaRPr lang="fr-CA" sz="1100">
            <a:solidFill>
              <a:srgbClr val="000000"/>
            </a:solidFill>
            <a:effectLst/>
            <a:latin typeface="+mn-lt"/>
            <a:ea typeface="+mn-ea"/>
            <a:cs typeface="+mn-cs"/>
          </a:endParaRPr>
        </a:p>
        <a:p>
          <a:pPr lvl="0"/>
          <a:r>
            <a:rPr lang="fr-FR" sz="1100">
              <a:solidFill>
                <a:srgbClr val="000000"/>
              </a:solidFill>
              <a:effectLst/>
              <a:latin typeface="+mn-lt"/>
              <a:ea typeface="+mn-ea"/>
              <a:cs typeface="+mn-cs"/>
            </a:rPr>
            <a:t>Collaborer avec les membres de l’équipe-école à l’élaboration et à la mise en œuvre du projet éducatif de l’école.</a:t>
          </a:r>
          <a:endParaRPr lang="fr-CA" sz="1100">
            <a:solidFill>
              <a:srgbClr val="000000"/>
            </a:solidFill>
            <a:effectLst/>
            <a:latin typeface="+mn-lt"/>
            <a:ea typeface="+mn-ea"/>
            <a:cs typeface="+mn-cs"/>
          </a:endParaRPr>
        </a:p>
      </xdr:txBody>
    </xdr:sp>
    <xdr:clientData fPrintsWithSheet="0"/>
  </xdr:twoCellAnchor>
  <xdr:twoCellAnchor>
    <xdr:from>
      <xdr:col>0</xdr:col>
      <xdr:colOff>0</xdr:colOff>
      <xdr:row>53</xdr:row>
      <xdr:rowOff>56605</xdr:rowOff>
    </xdr:from>
    <xdr:to>
      <xdr:col>1</xdr:col>
      <xdr:colOff>1408521</xdr:colOff>
      <xdr:row>53</xdr:row>
      <xdr:rowOff>1962150</xdr:rowOff>
    </xdr:to>
    <xdr:sp macro="" textlink="">
      <xdr:nvSpPr>
        <xdr:cNvPr id="17" name="Text Box 12">
          <a:extLst>
            <a:ext uri="{FF2B5EF4-FFF2-40B4-BE49-F238E27FC236}">
              <a16:creationId xmlns:a16="http://schemas.microsoft.com/office/drawing/2014/main" id="{00000000-0008-0000-0A00-000011000000}"/>
            </a:ext>
          </a:extLst>
        </xdr:cNvPr>
        <xdr:cNvSpPr txBox="1">
          <a:spLocks noChangeArrowheads="1"/>
        </xdr:cNvSpPr>
      </xdr:nvSpPr>
      <xdr:spPr bwMode="auto">
        <a:xfrm>
          <a:off x="0" y="18704823"/>
          <a:ext cx="3403576" cy="1905545"/>
        </a:xfrm>
        <a:prstGeom prst="rect">
          <a:avLst/>
        </a:prstGeom>
        <a:solidFill>
          <a:srgbClr val="B1CCE6"/>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D</a:t>
          </a:r>
          <a:endParaRPr lang="fr-CA" sz="1200">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Assumer les responsabilités inscrites dans les dispositions de sa convention collective.</a:t>
          </a:r>
        </a:p>
        <a:p>
          <a:endParaRPr lang="fr-CA" sz="1100">
            <a:solidFill>
              <a:srgbClr val="000000"/>
            </a:solidFill>
            <a:effectLst/>
            <a:latin typeface="+mn-lt"/>
            <a:ea typeface="+mn-ea"/>
            <a:cs typeface="+mn-cs"/>
          </a:endParaRPr>
        </a:p>
      </xdr:txBody>
    </xdr:sp>
    <xdr:clientData fPrintsWithSheet="0"/>
  </xdr:twoCellAnchor>
  <xdr:twoCellAnchor>
    <xdr:from>
      <xdr:col>0</xdr:col>
      <xdr:colOff>0</xdr:colOff>
      <xdr:row>57</xdr:row>
      <xdr:rowOff>30481</xdr:rowOff>
    </xdr:from>
    <xdr:to>
      <xdr:col>1</xdr:col>
      <xdr:colOff>1412875</xdr:colOff>
      <xdr:row>57</xdr:row>
      <xdr:rowOff>1885951</xdr:rowOff>
    </xdr:to>
    <xdr:sp macro="" textlink="">
      <xdr:nvSpPr>
        <xdr:cNvPr id="21" name="Text Box 12">
          <a:extLst>
            <a:ext uri="{FF2B5EF4-FFF2-40B4-BE49-F238E27FC236}">
              <a16:creationId xmlns:a16="http://schemas.microsoft.com/office/drawing/2014/main" id="{00000000-0008-0000-0A00-000015000000}"/>
            </a:ext>
          </a:extLst>
        </xdr:cNvPr>
        <xdr:cNvSpPr txBox="1">
          <a:spLocks noChangeArrowheads="1"/>
        </xdr:cNvSpPr>
      </xdr:nvSpPr>
      <xdr:spPr bwMode="auto">
        <a:xfrm>
          <a:off x="0" y="21449608"/>
          <a:ext cx="3407930" cy="1855470"/>
        </a:xfrm>
        <a:prstGeom prst="rect">
          <a:avLst/>
        </a:prstGeom>
        <a:solidFill>
          <a:srgbClr val="B1CCE6"/>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E</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Travailler de concert avec les membres de l’équipe-école à valoriser, en toutes circonstances, les attitudes et les comportements positifs, sains et sécuritaires.</a:t>
          </a:r>
        </a:p>
        <a:p>
          <a:endParaRPr lang="fr-CA" sz="1100">
            <a:solidFill>
              <a:srgbClr val="000000"/>
            </a:solidFill>
            <a:effectLst/>
            <a:latin typeface="+mn-lt"/>
            <a:ea typeface="+mn-ea"/>
            <a:cs typeface="+mn-cs"/>
          </a:endParaRPr>
        </a:p>
      </xdr:txBody>
    </xdr:sp>
    <xdr:clientData fPrintsWithSheet="0"/>
  </xdr:twoCellAnchor>
  <xdr:twoCellAnchor>
    <xdr:from>
      <xdr:col>1</xdr:col>
      <xdr:colOff>1565564</xdr:colOff>
      <xdr:row>41</xdr:row>
      <xdr:rowOff>803564</xdr:rowOff>
    </xdr:from>
    <xdr:to>
      <xdr:col>1</xdr:col>
      <xdr:colOff>1927628</xdr:colOff>
      <xdr:row>41</xdr:row>
      <xdr:rowOff>1017839</xdr:rowOff>
    </xdr:to>
    <xdr:sp macro="" textlink="">
      <xdr:nvSpPr>
        <xdr:cNvPr id="8" name="Flèche droite 7">
          <a:extLst>
            <a:ext uri="{FF2B5EF4-FFF2-40B4-BE49-F238E27FC236}">
              <a16:creationId xmlns:a16="http://schemas.microsoft.com/office/drawing/2014/main" id="{00000000-0008-0000-0A00-000008000000}"/>
            </a:ext>
          </a:extLst>
        </xdr:cNvPr>
        <xdr:cNvSpPr/>
      </xdr:nvSpPr>
      <xdr:spPr>
        <a:xfrm>
          <a:off x="3560619" y="11374582"/>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1565564</xdr:colOff>
      <xdr:row>45</xdr:row>
      <xdr:rowOff>706582</xdr:rowOff>
    </xdr:from>
    <xdr:to>
      <xdr:col>1</xdr:col>
      <xdr:colOff>1927628</xdr:colOff>
      <xdr:row>45</xdr:row>
      <xdr:rowOff>920857</xdr:rowOff>
    </xdr:to>
    <xdr:sp macro="" textlink="">
      <xdr:nvSpPr>
        <xdr:cNvPr id="10" name="Flèche droite 7">
          <a:extLst>
            <a:ext uri="{FF2B5EF4-FFF2-40B4-BE49-F238E27FC236}">
              <a16:creationId xmlns:a16="http://schemas.microsoft.com/office/drawing/2014/main" id="{00000000-0008-0000-0A00-00000A000000}"/>
            </a:ext>
          </a:extLst>
        </xdr:cNvPr>
        <xdr:cNvSpPr/>
      </xdr:nvSpPr>
      <xdr:spPr>
        <a:xfrm>
          <a:off x="3560619" y="1402080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1565564</xdr:colOff>
      <xdr:row>49</xdr:row>
      <xdr:rowOff>748145</xdr:rowOff>
    </xdr:from>
    <xdr:to>
      <xdr:col>1</xdr:col>
      <xdr:colOff>1925781</xdr:colOff>
      <xdr:row>49</xdr:row>
      <xdr:rowOff>962420</xdr:rowOff>
    </xdr:to>
    <xdr:sp macro="" textlink="">
      <xdr:nvSpPr>
        <xdr:cNvPr id="16" name="Flèche droite 7">
          <a:extLst>
            <a:ext uri="{FF2B5EF4-FFF2-40B4-BE49-F238E27FC236}">
              <a16:creationId xmlns:a16="http://schemas.microsoft.com/office/drawing/2014/main" id="{00000000-0008-0000-0A00-000010000000}"/>
            </a:ext>
          </a:extLst>
        </xdr:cNvPr>
        <xdr:cNvSpPr/>
      </xdr:nvSpPr>
      <xdr:spPr>
        <a:xfrm>
          <a:off x="3560619" y="16944109"/>
          <a:ext cx="360217"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1565564</xdr:colOff>
      <xdr:row>53</xdr:row>
      <xdr:rowOff>817419</xdr:rowOff>
    </xdr:from>
    <xdr:to>
      <xdr:col>1</xdr:col>
      <xdr:colOff>1927628</xdr:colOff>
      <xdr:row>53</xdr:row>
      <xdr:rowOff>1031694</xdr:rowOff>
    </xdr:to>
    <xdr:sp macro="" textlink="">
      <xdr:nvSpPr>
        <xdr:cNvPr id="19" name="Flèche droite 7">
          <a:extLst>
            <a:ext uri="{FF2B5EF4-FFF2-40B4-BE49-F238E27FC236}">
              <a16:creationId xmlns:a16="http://schemas.microsoft.com/office/drawing/2014/main" id="{00000000-0008-0000-0A00-000013000000}"/>
            </a:ext>
          </a:extLst>
        </xdr:cNvPr>
        <xdr:cNvSpPr/>
      </xdr:nvSpPr>
      <xdr:spPr>
        <a:xfrm>
          <a:off x="3560619" y="19465637"/>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1565564</xdr:colOff>
      <xdr:row>57</xdr:row>
      <xdr:rowOff>706583</xdr:rowOff>
    </xdr:from>
    <xdr:to>
      <xdr:col>1</xdr:col>
      <xdr:colOff>1927628</xdr:colOff>
      <xdr:row>57</xdr:row>
      <xdr:rowOff>920858</xdr:rowOff>
    </xdr:to>
    <xdr:sp macro="" textlink="">
      <xdr:nvSpPr>
        <xdr:cNvPr id="20" name="Flèche droite 7">
          <a:extLst>
            <a:ext uri="{FF2B5EF4-FFF2-40B4-BE49-F238E27FC236}">
              <a16:creationId xmlns:a16="http://schemas.microsoft.com/office/drawing/2014/main" id="{00000000-0008-0000-0A00-000014000000}"/>
            </a:ext>
          </a:extLst>
        </xdr:cNvPr>
        <xdr:cNvSpPr/>
      </xdr:nvSpPr>
      <xdr:spPr>
        <a:xfrm>
          <a:off x="3560619" y="2212571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1565564</xdr:colOff>
      <xdr:row>61</xdr:row>
      <xdr:rowOff>789710</xdr:rowOff>
    </xdr:from>
    <xdr:to>
      <xdr:col>1</xdr:col>
      <xdr:colOff>1927628</xdr:colOff>
      <xdr:row>61</xdr:row>
      <xdr:rowOff>1003985</xdr:rowOff>
    </xdr:to>
    <xdr:sp macro="" textlink="">
      <xdr:nvSpPr>
        <xdr:cNvPr id="30" name="Flèche droite 7">
          <a:extLst>
            <a:ext uri="{FF2B5EF4-FFF2-40B4-BE49-F238E27FC236}">
              <a16:creationId xmlns:a16="http://schemas.microsoft.com/office/drawing/2014/main" id="{00000000-0008-0000-0A00-00001E000000}"/>
            </a:ext>
          </a:extLst>
        </xdr:cNvPr>
        <xdr:cNvSpPr/>
      </xdr:nvSpPr>
      <xdr:spPr>
        <a:xfrm>
          <a:off x="3560619" y="2486891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1565564</xdr:colOff>
      <xdr:row>65</xdr:row>
      <xdr:rowOff>762000</xdr:rowOff>
    </xdr:from>
    <xdr:to>
      <xdr:col>1</xdr:col>
      <xdr:colOff>1925780</xdr:colOff>
      <xdr:row>65</xdr:row>
      <xdr:rowOff>976275</xdr:rowOff>
    </xdr:to>
    <xdr:sp macro="" textlink="">
      <xdr:nvSpPr>
        <xdr:cNvPr id="31" name="Flèche droite 7">
          <a:extLst>
            <a:ext uri="{FF2B5EF4-FFF2-40B4-BE49-F238E27FC236}">
              <a16:creationId xmlns:a16="http://schemas.microsoft.com/office/drawing/2014/main" id="{00000000-0008-0000-0A00-00001F000000}"/>
            </a:ext>
          </a:extLst>
        </xdr:cNvPr>
        <xdr:cNvSpPr/>
      </xdr:nvSpPr>
      <xdr:spPr>
        <a:xfrm>
          <a:off x="3560619" y="27473564"/>
          <a:ext cx="360216"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1565564</xdr:colOff>
      <xdr:row>69</xdr:row>
      <xdr:rowOff>789710</xdr:rowOff>
    </xdr:from>
    <xdr:to>
      <xdr:col>1</xdr:col>
      <xdr:colOff>1927628</xdr:colOff>
      <xdr:row>69</xdr:row>
      <xdr:rowOff>1003985</xdr:rowOff>
    </xdr:to>
    <xdr:sp macro="" textlink="">
      <xdr:nvSpPr>
        <xdr:cNvPr id="32" name="Flèche droite 7">
          <a:extLst>
            <a:ext uri="{FF2B5EF4-FFF2-40B4-BE49-F238E27FC236}">
              <a16:creationId xmlns:a16="http://schemas.microsoft.com/office/drawing/2014/main" id="{00000000-0008-0000-0A00-000020000000}"/>
            </a:ext>
          </a:extLst>
        </xdr:cNvPr>
        <xdr:cNvSpPr/>
      </xdr:nvSpPr>
      <xdr:spPr>
        <a:xfrm>
          <a:off x="3560619" y="30133637"/>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526473</xdr:colOff>
      <xdr:row>41</xdr:row>
      <xdr:rowOff>706582</xdr:rowOff>
    </xdr:from>
    <xdr:to>
      <xdr:col>7</xdr:col>
      <xdr:colOff>888537</xdr:colOff>
      <xdr:row>41</xdr:row>
      <xdr:rowOff>920857</xdr:rowOff>
    </xdr:to>
    <xdr:sp macro="" textlink="">
      <xdr:nvSpPr>
        <xdr:cNvPr id="47" name="Flèche droite 7">
          <a:extLst>
            <a:ext uri="{FF2B5EF4-FFF2-40B4-BE49-F238E27FC236}">
              <a16:creationId xmlns:a16="http://schemas.microsoft.com/office/drawing/2014/main" id="{00000000-0008-0000-0A00-00002F000000}"/>
            </a:ext>
          </a:extLst>
        </xdr:cNvPr>
        <xdr:cNvSpPr/>
      </xdr:nvSpPr>
      <xdr:spPr>
        <a:xfrm>
          <a:off x="10945091" y="1127760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526473</xdr:colOff>
      <xdr:row>45</xdr:row>
      <xdr:rowOff>609600</xdr:rowOff>
    </xdr:from>
    <xdr:to>
      <xdr:col>7</xdr:col>
      <xdr:colOff>888537</xdr:colOff>
      <xdr:row>45</xdr:row>
      <xdr:rowOff>823875</xdr:rowOff>
    </xdr:to>
    <xdr:sp macro="" textlink="">
      <xdr:nvSpPr>
        <xdr:cNvPr id="48" name="Flèche droite 7">
          <a:extLst>
            <a:ext uri="{FF2B5EF4-FFF2-40B4-BE49-F238E27FC236}">
              <a16:creationId xmlns:a16="http://schemas.microsoft.com/office/drawing/2014/main" id="{00000000-0008-0000-0A00-000030000000}"/>
            </a:ext>
          </a:extLst>
        </xdr:cNvPr>
        <xdr:cNvSpPr/>
      </xdr:nvSpPr>
      <xdr:spPr>
        <a:xfrm>
          <a:off x="10945091" y="13923818"/>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526473</xdr:colOff>
      <xdr:row>49</xdr:row>
      <xdr:rowOff>651163</xdr:rowOff>
    </xdr:from>
    <xdr:to>
      <xdr:col>7</xdr:col>
      <xdr:colOff>886690</xdr:colOff>
      <xdr:row>49</xdr:row>
      <xdr:rowOff>865438</xdr:rowOff>
    </xdr:to>
    <xdr:sp macro="" textlink="">
      <xdr:nvSpPr>
        <xdr:cNvPr id="49" name="Flèche droite 7">
          <a:extLst>
            <a:ext uri="{FF2B5EF4-FFF2-40B4-BE49-F238E27FC236}">
              <a16:creationId xmlns:a16="http://schemas.microsoft.com/office/drawing/2014/main" id="{00000000-0008-0000-0A00-000031000000}"/>
            </a:ext>
          </a:extLst>
        </xdr:cNvPr>
        <xdr:cNvSpPr/>
      </xdr:nvSpPr>
      <xdr:spPr>
        <a:xfrm>
          <a:off x="10945091" y="16847127"/>
          <a:ext cx="360217"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526473</xdr:colOff>
      <xdr:row>57</xdr:row>
      <xdr:rowOff>609601</xdr:rowOff>
    </xdr:from>
    <xdr:to>
      <xdr:col>7</xdr:col>
      <xdr:colOff>888537</xdr:colOff>
      <xdr:row>57</xdr:row>
      <xdr:rowOff>823876</xdr:rowOff>
    </xdr:to>
    <xdr:sp macro="" textlink="">
      <xdr:nvSpPr>
        <xdr:cNvPr id="51" name="Flèche droite 7">
          <a:extLst>
            <a:ext uri="{FF2B5EF4-FFF2-40B4-BE49-F238E27FC236}">
              <a16:creationId xmlns:a16="http://schemas.microsoft.com/office/drawing/2014/main" id="{00000000-0008-0000-0A00-000033000000}"/>
            </a:ext>
          </a:extLst>
        </xdr:cNvPr>
        <xdr:cNvSpPr/>
      </xdr:nvSpPr>
      <xdr:spPr>
        <a:xfrm>
          <a:off x="10945091" y="22028728"/>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526473</xdr:colOff>
      <xdr:row>61</xdr:row>
      <xdr:rowOff>692728</xdr:rowOff>
    </xdr:from>
    <xdr:to>
      <xdr:col>7</xdr:col>
      <xdr:colOff>888537</xdr:colOff>
      <xdr:row>61</xdr:row>
      <xdr:rowOff>907003</xdr:rowOff>
    </xdr:to>
    <xdr:sp macro="" textlink="">
      <xdr:nvSpPr>
        <xdr:cNvPr id="52" name="Flèche droite 7">
          <a:extLst>
            <a:ext uri="{FF2B5EF4-FFF2-40B4-BE49-F238E27FC236}">
              <a16:creationId xmlns:a16="http://schemas.microsoft.com/office/drawing/2014/main" id="{00000000-0008-0000-0A00-000034000000}"/>
            </a:ext>
          </a:extLst>
        </xdr:cNvPr>
        <xdr:cNvSpPr/>
      </xdr:nvSpPr>
      <xdr:spPr>
        <a:xfrm>
          <a:off x="10945091" y="24771928"/>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526473</xdr:colOff>
      <xdr:row>65</xdr:row>
      <xdr:rowOff>665018</xdr:rowOff>
    </xdr:from>
    <xdr:to>
      <xdr:col>7</xdr:col>
      <xdr:colOff>886689</xdr:colOff>
      <xdr:row>65</xdr:row>
      <xdr:rowOff>879293</xdr:rowOff>
    </xdr:to>
    <xdr:sp macro="" textlink="">
      <xdr:nvSpPr>
        <xdr:cNvPr id="53" name="Flèche droite 7">
          <a:extLst>
            <a:ext uri="{FF2B5EF4-FFF2-40B4-BE49-F238E27FC236}">
              <a16:creationId xmlns:a16="http://schemas.microsoft.com/office/drawing/2014/main" id="{00000000-0008-0000-0A00-000035000000}"/>
            </a:ext>
          </a:extLst>
        </xdr:cNvPr>
        <xdr:cNvSpPr/>
      </xdr:nvSpPr>
      <xdr:spPr>
        <a:xfrm>
          <a:off x="10945091" y="27376582"/>
          <a:ext cx="360216"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526473</xdr:colOff>
      <xdr:row>69</xdr:row>
      <xdr:rowOff>692728</xdr:rowOff>
    </xdr:from>
    <xdr:to>
      <xdr:col>7</xdr:col>
      <xdr:colOff>888537</xdr:colOff>
      <xdr:row>69</xdr:row>
      <xdr:rowOff>907003</xdr:rowOff>
    </xdr:to>
    <xdr:sp macro="" textlink="">
      <xdr:nvSpPr>
        <xdr:cNvPr id="54" name="Flèche droite 7">
          <a:extLst>
            <a:ext uri="{FF2B5EF4-FFF2-40B4-BE49-F238E27FC236}">
              <a16:creationId xmlns:a16="http://schemas.microsoft.com/office/drawing/2014/main" id="{00000000-0008-0000-0A00-000036000000}"/>
            </a:ext>
          </a:extLst>
        </xdr:cNvPr>
        <xdr:cNvSpPr/>
      </xdr:nvSpPr>
      <xdr:spPr>
        <a:xfrm>
          <a:off x="10945091" y="30036655"/>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editAs="oneCell">
    <xdr:from>
      <xdr:col>3</xdr:col>
      <xdr:colOff>2004060</xdr:colOff>
      <xdr:row>38</xdr:row>
      <xdr:rowOff>190500</xdr:rowOff>
    </xdr:from>
    <xdr:to>
      <xdr:col>5</xdr:col>
      <xdr:colOff>147692</xdr:colOff>
      <xdr:row>38</xdr:row>
      <xdr:rowOff>422274</xdr:rowOff>
    </xdr:to>
    <xdr:pic>
      <xdr:nvPicPr>
        <xdr:cNvPr id="55" name="Image 54">
          <a:extLst>
            <a:ext uri="{FF2B5EF4-FFF2-40B4-BE49-F238E27FC236}">
              <a16:creationId xmlns:a16="http://schemas.microsoft.com/office/drawing/2014/main" id="{00000000-0008-0000-0A00-000037000000}"/>
            </a:ext>
          </a:extLst>
        </xdr:cNvPr>
        <xdr:cNvPicPr>
          <a:picLocks noChangeAspect="1"/>
        </xdr:cNvPicPr>
      </xdr:nvPicPr>
      <xdr:blipFill>
        <a:blip xmlns:r="http://schemas.openxmlformats.org/officeDocument/2006/relationships" r:embed="rId2"/>
        <a:stretch>
          <a:fillRect/>
        </a:stretch>
      </xdr:blipFill>
      <xdr:spPr>
        <a:xfrm>
          <a:off x="6111240" y="9410700"/>
          <a:ext cx="254372" cy="231774"/>
        </a:xfrm>
        <a:prstGeom prst="rect">
          <a:avLst/>
        </a:prstGeom>
      </xdr:spPr>
    </xdr:pic>
    <xdr:clientData/>
  </xdr:twoCellAnchor>
  <xdr:twoCellAnchor>
    <xdr:from>
      <xdr:col>1</xdr:col>
      <xdr:colOff>0</xdr:colOff>
      <xdr:row>77</xdr:row>
      <xdr:rowOff>175259</xdr:rowOff>
    </xdr:from>
    <xdr:to>
      <xdr:col>2</xdr:col>
      <xdr:colOff>0</xdr:colOff>
      <xdr:row>80</xdr:row>
      <xdr:rowOff>175258</xdr:rowOff>
    </xdr:to>
    <xdr:sp macro="" textlink="">
      <xdr:nvSpPr>
        <xdr:cNvPr id="12" name="Rectangle : coins arrondis 11" descr="Retour à la Présentation">
          <a:hlinkClick xmlns:r="http://schemas.openxmlformats.org/officeDocument/2006/relationships" r:id="rId4"/>
          <a:extLst>
            <a:ext uri="{FF2B5EF4-FFF2-40B4-BE49-F238E27FC236}">
              <a16:creationId xmlns:a16="http://schemas.microsoft.com/office/drawing/2014/main" id="{00000000-0008-0000-0A00-00000C000000}"/>
            </a:ext>
          </a:extLst>
        </xdr:cNvPr>
        <xdr:cNvSpPr/>
      </xdr:nvSpPr>
      <xdr:spPr>
        <a:xfrm>
          <a:off x="2034540" y="32247839"/>
          <a:ext cx="2110740" cy="525779"/>
        </a:xfrm>
        <a:prstGeom prst="roundRect">
          <a:avLst/>
        </a:prstGeom>
        <a:solidFill>
          <a:srgbClr val="74B4B9"/>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Retour à la Présentation</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0</xdr:col>
      <xdr:colOff>76200</xdr:colOff>
      <xdr:row>0</xdr:row>
      <xdr:rowOff>38100</xdr:rowOff>
    </xdr:from>
    <xdr:ext cx="1358900" cy="736600"/>
    <xdr:pic>
      <xdr:nvPicPr>
        <xdr:cNvPr id="2" name="logo_teluq_nb.eps" descr="Logo de l'Université TÉLUQ.">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38100"/>
          <a:ext cx="1358900" cy="736600"/>
        </a:xfrm>
        <a:prstGeom prst="rect">
          <a:avLst/>
        </a:prstGeom>
      </xdr:spPr>
    </xdr:pic>
    <xdr:clientData/>
  </xdr:oneCellAnchor>
  <xdr:twoCellAnchor>
    <xdr:from>
      <xdr:col>0</xdr:col>
      <xdr:colOff>0</xdr:colOff>
      <xdr:row>4</xdr:row>
      <xdr:rowOff>0</xdr:rowOff>
    </xdr:from>
    <xdr:to>
      <xdr:col>9</xdr:col>
      <xdr:colOff>30480</xdr:colOff>
      <xdr:row>11</xdr:row>
      <xdr:rowOff>114300</xdr:rowOff>
    </xdr:to>
    <xdr:sp macro="" textlink="">
      <xdr:nvSpPr>
        <xdr:cNvPr id="3" name="Text Box 12">
          <a:extLst>
            <a:ext uri="{FF2B5EF4-FFF2-40B4-BE49-F238E27FC236}">
              <a16:creationId xmlns:a16="http://schemas.microsoft.com/office/drawing/2014/main" id="{00000000-0008-0000-0B00-000003000000}"/>
            </a:ext>
          </a:extLst>
        </xdr:cNvPr>
        <xdr:cNvSpPr txBox="1">
          <a:spLocks noChangeArrowheads="1"/>
        </xdr:cNvSpPr>
      </xdr:nvSpPr>
      <xdr:spPr bwMode="auto">
        <a:xfrm>
          <a:off x="0" y="1005840"/>
          <a:ext cx="17266920" cy="1341120"/>
        </a:xfrm>
        <a:prstGeom prst="rect">
          <a:avLst/>
        </a:prstGeom>
        <a:solidFill>
          <a:srgbClr val="B1CCE6"/>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a:r>
            <a:rPr lang="en-US" sz="1800" b="1" i="0" u="none" strike="noStrike" cap="all" baseline="0">
              <a:solidFill>
                <a:srgbClr val="000000"/>
              </a:solidFill>
              <a:effectLst/>
              <a:latin typeface="+mn-lt"/>
              <a:ea typeface="+mn-ea"/>
              <a:cs typeface="Arial"/>
            </a:rPr>
            <a:t>Champ 2 : deux compétences à la base du professionnalisme collaboratif</a:t>
          </a:r>
        </a:p>
        <a:p>
          <a:pPr marL="0" indent="0" algn="l"/>
          <a:endParaRPr lang="en-US" sz="1400" b="1" i="0" u="none" strike="noStrike" baseline="0">
            <a:solidFill>
              <a:srgbClr val="000000"/>
            </a:solidFill>
            <a:effectLst/>
            <a:latin typeface="Arial"/>
            <a:ea typeface="+mn-ea"/>
            <a:cs typeface="Arial"/>
          </a:endParaRPr>
        </a:p>
        <a:p>
          <a:pPr algn="l"/>
          <a:r>
            <a:rPr lang="en-US" sz="1400" b="1" i="0" u="none" strike="noStrike" baseline="0">
              <a:solidFill>
                <a:srgbClr val="000000"/>
              </a:solidFill>
              <a:effectLst/>
              <a:latin typeface="+mn-lt"/>
              <a:ea typeface="+mn-ea"/>
              <a:cs typeface="Arial"/>
            </a:rPr>
            <a:t>Compétence 10 : Collaborer avec la famille et les partenaires de la communauté</a:t>
          </a:r>
        </a:p>
        <a:p>
          <a:pPr algn="l"/>
          <a:r>
            <a:rPr lang="fr-CA" sz="1400" i="1">
              <a:solidFill>
                <a:srgbClr val="000000"/>
              </a:solidFill>
              <a:effectLst/>
              <a:latin typeface="+mn-lt"/>
              <a:ea typeface="+mn-ea"/>
              <a:cs typeface="+mn-cs"/>
            </a:rPr>
            <a:t>Solliciter l’engagement des parents dans les apprentissages de leurs enfants et la vie de l’école, tout en contribuant à des actions de partenariat durable entre l’école et sa communauté.</a:t>
          </a:r>
        </a:p>
      </xdr:txBody>
    </xdr:sp>
    <xdr:clientData fPrintsWithSheet="0"/>
  </xdr:twoCellAnchor>
  <xdr:twoCellAnchor editAs="oneCell">
    <xdr:from>
      <xdr:col>6</xdr:col>
      <xdr:colOff>83820</xdr:colOff>
      <xdr:row>23</xdr:row>
      <xdr:rowOff>6623</xdr:rowOff>
    </xdr:from>
    <xdr:to>
      <xdr:col>6</xdr:col>
      <xdr:colOff>344623</xdr:colOff>
      <xdr:row>23</xdr:row>
      <xdr:rowOff>251282</xdr:rowOff>
    </xdr:to>
    <xdr:pic>
      <xdr:nvPicPr>
        <xdr:cNvPr id="4" name="Imag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2"/>
        <a:stretch>
          <a:fillRect/>
        </a:stretch>
      </xdr:blipFill>
      <xdr:spPr>
        <a:xfrm>
          <a:off x="8412480" y="6003563"/>
          <a:ext cx="260803" cy="244659"/>
        </a:xfrm>
        <a:prstGeom prst="rect">
          <a:avLst/>
        </a:prstGeom>
      </xdr:spPr>
    </xdr:pic>
    <xdr:clientData/>
  </xdr:twoCellAnchor>
  <xdr:twoCellAnchor editAs="oneCell">
    <xdr:from>
      <xdr:col>8</xdr:col>
      <xdr:colOff>767443</xdr:colOff>
      <xdr:row>4</xdr:row>
      <xdr:rowOff>165100</xdr:rowOff>
    </xdr:from>
    <xdr:to>
      <xdr:col>8</xdr:col>
      <xdr:colOff>1396093</xdr:colOff>
      <xdr:row>8</xdr:row>
      <xdr:rowOff>1848</xdr:rowOff>
    </xdr:to>
    <xdr:pic>
      <xdr:nvPicPr>
        <xdr:cNvPr id="15" name="Image 14">
          <a:extLst>
            <a:ext uri="{FF2B5EF4-FFF2-40B4-BE49-F238E27FC236}">
              <a16:creationId xmlns:a16="http://schemas.microsoft.com/office/drawing/2014/main" id="{00000000-0008-0000-0B00-00000F000000}"/>
            </a:ext>
          </a:extLst>
        </xdr:cNvPr>
        <xdr:cNvPicPr>
          <a:picLocks noChangeAspect="1"/>
        </xdr:cNvPicPr>
      </xdr:nvPicPr>
      <xdr:blipFill>
        <a:blip xmlns:r="http://schemas.openxmlformats.org/officeDocument/2006/relationships" r:embed="rId3"/>
        <a:stretch>
          <a:fillRect/>
        </a:stretch>
      </xdr:blipFill>
      <xdr:spPr>
        <a:xfrm>
          <a:off x="14766472" y="1177471"/>
          <a:ext cx="628650" cy="533433"/>
        </a:xfrm>
        <a:prstGeom prst="rect">
          <a:avLst/>
        </a:prstGeom>
      </xdr:spPr>
    </xdr:pic>
    <xdr:clientData/>
  </xdr:twoCellAnchor>
  <xdr:twoCellAnchor>
    <xdr:from>
      <xdr:col>0</xdr:col>
      <xdr:colOff>0</xdr:colOff>
      <xdr:row>41</xdr:row>
      <xdr:rowOff>6237</xdr:rowOff>
    </xdr:from>
    <xdr:to>
      <xdr:col>1</xdr:col>
      <xdr:colOff>1412875</xdr:colOff>
      <xdr:row>41</xdr:row>
      <xdr:rowOff>1600200</xdr:rowOff>
    </xdr:to>
    <xdr:sp macro="" textlink="">
      <xdr:nvSpPr>
        <xdr:cNvPr id="28" name="Text Box 12">
          <a:extLst>
            <a:ext uri="{FF2B5EF4-FFF2-40B4-BE49-F238E27FC236}">
              <a16:creationId xmlns:a16="http://schemas.microsoft.com/office/drawing/2014/main" id="{00000000-0008-0000-0B00-00001C000000}"/>
            </a:ext>
          </a:extLst>
        </xdr:cNvPr>
        <xdr:cNvSpPr txBox="1">
          <a:spLocks noChangeArrowheads="1"/>
        </xdr:cNvSpPr>
      </xdr:nvSpPr>
      <xdr:spPr bwMode="auto">
        <a:xfrm>
          <a:off x="0" y="10412980"/>
          <a:ext cx="3404961" cy="1593963"/>
        </a:xfrm>
        <a:prstGeom prst="rect">
          <a:avLst/>
        </a:prstGeom>
        <a:solidFill>
          <a:srgbClr val="B1CCE6"/>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pPr marL="0" indent="0"/>
          <a:r>
            <a:rPr lang="fr-CA" sz="1200" b="1" i="0" u="dbl" strike="noStrike" baseline="0">
              <a:solidFill>
                <a:srgbClr val="000000"/>
              </a:solidFill>
              <a:effectLst/>
              <a:latin typeface="Arial"/>
              <a:ea typeface="+mn-ea"/>
              <a:cs typeface="Arial"/>
            </a:rPr>
            <a:t>Dimension A</a:t>
          </a:r>
        </a:p>
        <a:p>
          <a:pPr marL="0" indent="0"/>
          <a:endParaRPr lang="fr-CA" sz="1200" b="1" i="0" u="dbl" strike="noStrike" baseline="0">
            <a:solidFill>
              <a:srgbClr val="000000"/>
            </a:solidFill>
            <a:effectLst/>
            <a:latin typeface="Arial"/>
            <a:ea typeface="+mn-ea"/>
            <a:cs typeface="Arial"/>
          </a:endParaRPr>
        </a:p>
        <a:p>
          <a:pPr marL="0" indent="0"/>
          <a:r>
            <a:rPr lang="fr-FR" sz="1100">
              <a:solidFill>
                <a:srgbClr val="000000"/>
              </a:solidFill>
              <a:effectLst/>
              <a:latin typeface="Roboto" panose="02000000000000000000" pitchFamily="2" charset="0"/>
              <a:ea typeface="Calibri" panose="020F0502020204030204" pitchFamily="34" charset="0"/>
              <a:cs typeface="Times New Roman" panose="02020603050405020304" pitchFamily="18" charset="0"/>
            </a:rPr>
            <a:t>Établir des relations constructives avec la famille et les partenaires de la communauté.</a:t>
          </a:r>
          <a:endParaRPr lang="fr-CA" sz="1100">
            <a:solidFill>
              <a:srgbClr val="000000"/>
            </a:solidFill>
            <a:effectLst/>
            <a:latin typeface="Roboto" panose="02000000000000000000" pitchFamily="2" charset="0"/>
            <a:ea typeface="Calibri" panose="020F0502020204030204" pitchFamily="34" charset="0"/>
            <a:cs typeface="Times New Roman" panose="02020603050405020304" pitchFamily="18" charset="0"/>
          </a:endParaRPr>
        </a:p>
        <a:p>
          <a:pPr lvl="0"/>
          <a:endParaRPr lang="fr-CA" sz="1100">
            <a:solidFill>
              <a:srgbClr val="000000"/>
            </a:solidFill>
            <a:effectLst/>
            <a:latin typeface="+mn-lt"/>
            <a:ea typeface="+mn-ea"/>
            <a:cs typeface="+mn-cs"/>
          </a:endParaRPr>
        </a:p>
      </xdr:txBody>
    </xdr:sp>
    <xdr:clientData fPrintsWithSheet="0"/>
  </xdr:twoCellAnchor>
  <xdr:twoCellAnchor>
    <xdr:from>
      <xdr:col>1</xdr:col>
      <xdr:colOff>1606436</xdr:colOff>
      <xdr:row>41</xdr:row>
      <xdr:rowOff>928725</xdr:rowOff>
    </xdr:from>
    <xdr:to>
      <xdr:col>1</xdr:col>
      <xdr:colOff>1968500</xdr:colOff>
      <xdr:row>41</xdr:row>
      <xdr:rowOff>1143000</xdr:rowOff>
    </xdr:to>
    <xdr:sp macro="" textlink="">
      <xdr:nvSpPr>
        <xdr:cNvPr id="7" name="Flèche droite 7">
          <a:extLst>
            <a:ext uri="{FF2B5EF4-FFF2-40B4-BE49-F238E27FC236}">
              <a16:creationId xmlns:a16="http://schemas.microsoft.com/office/drawing/2014/main" id="{00000000-0008-0000-0B00-000007000000}"/>
            </a:ext>
          </a:extLst>
        </xdr:cNvPr>
        <xdr:cNvSpPr/>
      </xdr:nvSpPr>
      <xdr:spPr>
        <a:xfrm>
          <a:off x="3606686" y="11272875"/>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0</xdr:colOff>
      <xdr:row>45</xdr:row>
      <xdr:rowOff>67198</xdr:rowOff>
    </xdr:from>
    <xdr:to>
      <xdr:col>1</xdr:col>
      <xdr:colOff>1412875</xdr:colOff>
      <xdr:row>45</xdr:row>
      <xdr:rowOff>1643744</xdr:rowOff>
    </xdr:to>
    <xdr:sp macro="" textlink="">
      <xdr:nvSpPr>
        <xdr:cNvPr id="27" name="Text Box 12">
          <a:extLst>
            <a:ext uri="{FF2B5EF4-FFF2-40B4-BE49-F238E27FC236}">
              <a16:creationId xmlns:a16="http://schemas.microsoft.com/office/drawing/2014/main" id="{00000000-0008-0000-0B00-00001B000000}"/>
            </a:ext>
          </a:extLst>
        </xdr:cNvPr>
        <xdr:cNvSpPr txBox="1">
          <a:spLocks noChangeArrowheads="1"/>
        </xdr:cNvSpPr>
      </xdr:nvSpPr>
      <xdr:spPr bwMode="auto">
        <a:xfrm>
          <a:off x="0" y="12716398"/>
          <a:ext cx="3404961" cy="1576546"/>
        </a:xfrm>
        <a:prstGeom prst="rect">
          <a:avLst/>
        </a:prstGeom>
        <a:solidFill>
          <a:srgbClr val="B1CCE6"/>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B</a:t>
          </a:r>
        </a:p>
        <a:p>
          <a:endParaRPr lang="fr-CA" sz="1100" b="1" i="0" u="dbl" baseline="0">
            <a:solidFill>
              <a:srgbClr val="000000"/>
            </a:solidFill>
            <a:effectLst/>
            <a:latin typeface="+mn-lt"/>
            <a:ea typeface="+mn-ea"/>
            <a:cs typeface="+mn-cs"/>
          </a:endParaRPr>
        </a:p>
        <a:p>
          <a:pPr lvl="0"/>
          <a:r>
            <a:rPr lang="fr-CA" sz="1100">
              <a:solidFill>
                <a:srgbClr val="000000"/>
              </a:solidFill>
              <a:effectLst/>
              <a:latin typeface="+mn-lt"/>
              <a:ea typeface="+mn-ea"/>
              <a:cs typeface="+mn-cs"/>
            </a:rPr>
            <a:t>Entretenir une communication de qualité avec la famille à propos de la réussite et du bien-être de l’enfant.</a:t>
          </a:r>
        </a:p>
        <a:p>
          <a:endParaRPr lang="fr-CA" sz="1200">
            <a:solidFill>
              <a:srgbClr val="000000"/>
            </a:solidFill>
            <a:effectLst/>
          </a:endParaRPr>
        </a:p>
        <a:p>
          <a:endParaRPr lang="fr-CA" sz="1100">
            <a:solidFill>
              <a:srgbClr val="000000"/>
            </a:solidFill>
            <a:effectLst/>
            <a:latin typeface="+mn-lt"/>
            <a:ea typeface="+mn-ea"/>
            <a:cs typeface="+mn-cs"/>
          </a:endParaRPr>
        </a:p>
        <a:p>
          <a:pPr lvl="0"/>
          <a:endParaRPr lang="fr-CA" sz="1100">
            <a:solidFill>
              <a:srgbClr val="000000"/>
            </a:solidFill>
            <a:effectLst/>
            <a:latin typeface="+mn-lt"/>
            <a:ea typeface="+mn-ea"/>
            <a:cs typeface="+mn-cs"/>
          </a:endParaRPr>
        </a:p>
      </xdr:txBody>
    </xdr:sp>
    <xdr:clientData fPrintsWithSheet="0"/>
  </xdr:twoCellAnchor>
  <xdr:twoCellAnchor>
    <xdr:from>
      <xdr:col>1</xdr:col>
      <xdr:colOff>1606436</xdr:colOff>
      <xdr:row>45</xdr:row>
      <xdr:rowOff>885182</xdr:rowOff>
    </xdr:from>
    <xdr:to>
      <xdr:col>1</xdr:col>
      <xdr:colOff>1968500</xdr:colOff>
      <xdr:row>45</xdr:row>
      <xdr:rowOff>1099457</xdr:rowOff>
    </xdr:to>
    <xdr:sp macro="" textlink="">
      <xdr:nvSpPr>
        <xdr:cNvPr id="18" name="Flèche droite 7">
          <a:extLst>
            <a:ext uri="{FF2B5EF4-FFF2-40B4-BE49-F238E27FC236}">
              <a16:creationId xmlns:a16="http://schemas.microsoft.com/office/drawing/2014/main" id="{00000000-0008-0000-0B00-000012000000}"/>
            </a:ext>
          </a:extLst>
        </xdr:cNvPr>
        <xdr:cNvSpPr/>
      </xdr:nvSpPr>
      <xdr:spPr>
        <a:xfrm>
          <a:off x="3606686" y="13477232"/>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0</xdr:colOff>
      <xdr:row>48</xdr:row>
      <xdr:rowOff>189117</xdr:rowOff>
    </xdr:from>
    <xdr:to>
      <xdr:col>1</xdr:col>
      <xdr:colOff>1412875</xdr:colOff>
      <xdr:row>49</xdr:row>
      <xdr:rowOff>1502229</xdr:rowOff>
    </xdr:to>
    <xdr:sp macro="" textlink="">
      <xdr:nvSpPr>
        <xdr:cNvPr id="25" name="Text Box 12">
          <a:extLst>
            <a:ext uri="{FF2B5EF4-FFF2-40B4-BE49-F238E27FC236}">
              <a16:creationId xmlns:a16="http://schemas.microsoft.com/office/drawing/2014/main" id="{00000000-0008-0000-0B00-000019000000}"/>
            </a:ext>
          </a:extLst>
        </xdr:cNvPr>
        <xdr:cNvSpPr txBox="1">
          <a:spLocks noChangeArrowheads="1"/>
        </xdr:cNvSpPr>
      </xdr:nvSpPr>
      <xdr:spPr bwMode="auto">
        <a:xfrm>
          <a:off x="0" y="14928374"/>
          <a:ext cx="3404961" cy="1519941"/>
        </a:xfrm>
        <a:prstGeom prst="rect">
          <a:avLst/>
        </a:prstGeom>
        <a:solidFill>
          <a:srgbClr val="B1CCE6"/>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C</a:t>
          </a:r>
        </a:p>
        <a:p>
          <a:r>
            <a:rPr lang="fr-CA" sz="1100">
              <a:solidFill>
                <a:srgbClr val="000000"/>
              </a:solidFill>
              <a:effectLst/>
              <a:latin typeface="+mn-lt"/>
              <a:ea typeface="+mn-ea"/>
              <a:cs typeface="+mn-cs"/>
            </a:rPr>
            <a:t>Communiquer à la famille ses attentes au regard des résultats, des attitudes et des comportements souhaités en classe.</a:t>
          </a:r>
          <a:r>
            <a:rPr lang="fr-CA">
              <a:solidFill>
                <a:srgbClr val="000000"/>
              </a:solidFill>
              <a:effectLst/>
            </a:rPr>
            <a:t> </a:t>
          </a:r>
          <a:endParaRPr lang="fr-CA" sz="1100">
            <a:solidFill>
              <a:srgbClr val="000000"/>
            </a:solidFill>
            <a:effectLst/>
            <a:latin typeface="+mn-lt"/>
            <a:ea typeface="+mn-ea"/>
            <a:cs typeface="+mn-cs"/>
          </a:endParaRPr>
        </a:p>
        <a:p>
          <a:pPr lvl="0"/>
          <a:endParaRPr lang="fr-CA" sz="1100">
            <a:solidFill>
              <a:srgbClr val="000000"/>
            </a:solidFill>
            <a:effectLst/>
            <a:latin typeface="+mn-lt"/>
            <a:ea typeface="+mn-ea"/>
            <a:cs typeface="+mn-cs"/>
          </a:endParaRPr>
        </a:p>
      </xdr:txBody>
    </xdr:sp>
    <xdr:clientData fPrintsWithSheet="0"/>
  </xdr:twoCellAnchor>
  <xdr:twoCellAnchor>
    <xdr:from>
      <xdr:col>1</xdr:col>
      <xdr:colOff>1606436</xdr:colOff>
      <xdr:row>49</xdr:row>
      <xdr:rowOff>689239</xdr:rowOff>
    </xdr:from>
    <xdr:to>
      <xdr:col>1</xdr:col>
      <xdr:colOff>1968500</xdr:colOff>
      <xdr:row>49</xdr:row>
      <xdr:rowOff>903514</xdr:rowOff>
    </xdr:to>
    <xdr:sp macro="" textlink="">
      <xdr:nvSpPr>
        <xdr:cNvPr id="21" name="Flèche droite 7">
          <a:extLst>
            <a:ext uri="{FF2B5EF4-FFF2-40B4-BE49-F238E27FC236}">
              <a16:creationId xmlns:a16="http://schemas.microsoft.com/office/drawing/2014/main" id="{00000000-0008-0000-0B00-000015000000}"/>
            </a:ext>
          </a:extLst>
        </xdr:cNvPr>
        <xdr:cNvSpPr/>
      </xdr:nvSpPr>
      <xdr:spPr>
        <a:xfrm>
          <a:off x="3606686" y="15586339"/>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0</xdr:colOff>
      <xdr:row>52</xdr:row>
      <xdr:rowOff>89809</xdr:rowOff>
    </xdr:from>
    <xdr:to>
      <xdr:col>1</xdr:col>
      <xdr:colOff>1440089</xdr:colOff>
      <xdr:row>53</xdr:row>
      <xdr:rowOff>1458685</xdr:rowOff>
    </xdr:to>
    <xdr:sp macro="" textlink="">
      <xdr:nvSpPr>
        <xdr:cNvPr id="23" name="Text Box 12">
          <a:extLst>
            <a:ext uri="{FF2B5EF4-FFF2-40B4-BE49-F238E27FC236}">
              <a16:creationId xmlns:a16="http://schemas.microsoft.com/office/drawing/2014/main" id="{00000000-0008-0000-0B00-000017000000}"/>
            </a:ext>
          </a:extLst>
        </xdr:cNvPr>
        <xdr:cNvSpPr txBox="1">
          <a:spLocks noChangeArrowheads="1"/>
        </xdr:cNvSpPr>
      </xdr:nvSpPr>
      <xdr:spPr bwMode="auto">
        <a:xfrm>
          <a:off x="0" y="16973552"/>
          <a:ext cx="3432175" cy="1543047"/>
        </a:xfrm>
        <a:prstGeom prst="rect">
          <a:avLst/>
        </a:prstGeom>
        <a:solidFill>
          <a:srgbClr val="B1CCE6"/>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D</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Mettre en œuvre des moyens appropriés de faire participer la famille aux apprentissages de l’enfant ainsi qu’aux activités scolaires et parascolaires.</a:t>
          </a:r>
        </a:p>
        <a:p>
          <a:endParaRPr lang="fr-CA" sz="1100">
            <a:solidFill>
              <a:srgbClr val="000000"/>
            </a:solidFill>
            <a:effectLst/>
            <a:latin typeface="+mn-lt"/>
            <a:ea typeface="+mn-ea"/>
            <a:cs typeface="+mn-cs"/>
          </a:endParaRPr>
        </a:p>
      </xdr:txBody>
    </xdr:sp>
    <xdr:clientData fPrintsWithSheet="0"/>
  </xdr:twoCellAnchor>
  <xdr:twoCellAnchor>
    <xdr:from>
      <xdr:col>0</xdr:col>
      <xdr:colOff>0</xdr:colOff>
      <xdr:row>65</xdr:row>
      <xdr:rowOff>32657</xdr:rowOff>
    </xdr:from>
    <xdr:to>
      <xdr:col>1</xdr:col>
      <xdr:colOff>1421039</xdr:colOff>
      <xdr:row>65</xdr:row>
      <xdr:rowOff>1524000</xdr:rowOff>
    </xdr:to>
    <xdr:sp macro="" textlink="">
      <xdr:nvSpPr>
        <xdr:cNvPr id="26" name="Text Box 12">
          <a:extLst>
            <a:ext uri="{FF2B5EF4-FFF2-40B4-BE49-F238E27FC236}">
              <a16:creationId xmlns:a16="http://schemas.microsoft.com/office/drawing/2014/main" id="{00000000-0008-0000-0B00-00001A000000}"/>
            </a:ext>
          </a:extLst>
        </xdr:cNvPr>
        <xdr:cNvSpPr txBox="1">
          <a:spLocks noChangeArrowheads="1"/>
        </xdr:cNvSpPr>
      </xdr:nvSpPr>
      <xdr:spPr bwMode="auto">
        <a:xfrm>
          <a:off x="0" y="23589343"/>
          <a:ext cx="3413125" cy="1491343"/>
        </a:xfrm>
        <a:prstGeom prst="rect">
          <a:avLst/>
        </a:prstGeom>
        <a:solidFill>
          <a:srgbClr val="B1CCE6"/>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G</a:t>
          </a:r>
          <a:endParaRPr lang="fr-CA" sz="1200">
            <a:solidFill>
              <a:srgbClr val="000000"/>
            </a:solidFill>
            <a:effectLst/>
          </a:endParaRPr>
        </a:p>
        <a:p>
          <a:r>
            <a:rPr lang="fr-CA" sz="1100">
              <a:solidFill>
                <a:srgbClr val="000000"/>
              </a:solidFill>
              <a:effectLst/>
              <a:latin typeface="+mn-lt"/>
              <a:ea typeface="+mn-ea"/>
              <a:cs typeface="+mn-cs"/>
            </a:rPr>
            <a:t>Saisir les occasions de réinvestir le contenu des activités de partenariat dans des situations d’enseignement et d’apprentissage.</a:t>
          </a:r>
          <a:r>
            <a:rPr lang="fr-CA">
              <a:solidFill>
                <a:srgbClr val="000000"/>
              </a:solidFill>
              <a:effectLst/>
            </a:rPr>
            <a:t> </a:t>
          </a:r>
          <a:endParaRPr lang="fr-CA" sz="1100">
            <a:solidFill>
              <a:srgbClr val="000000"/>
            </a:solidFill>
            <a:effectLst/>
            <a:latin typeface="+mn-lt"/>
            <a:ea typeface="+mn-ea"/>
            <a:cs typeface="+mn-cs"/>
          </a:endParaRPr>
        </a:p>
      </xdr:txBody>
    </xdr:sp>
    <xdr:clientData fPrintsWithSheet="0"/>
  </xdr:twoCellAnchor>
  <xdr:twoCellAnchor>
    <xdr:from>
      <xdr:col>0</xdr:col>
      <xdr:colOff>0</xdr:colOff>
      <xdr:row>61</xdr:row>
      <xdr:rowOff>10885</xdr:rowOff>
    </xdr:from>
    <xdr:to>
      <xdr:col>1</xdr:col>
      <xdr:colOff>1421039</xdr:colOff>
      <xdr:row>61</xdr:row>
      <xdr:rowOff>1890598</xdr:rowOff>
    </xdr:to>
    <xdr:sp macro="" textlink="">
      <xdr:nvSpPr>
        <xdr:cNvPr id="24" name="Text Box 12">
          <a:extLst>
            <a:ext uri="{FF2B5EF4-FFF2-40B4-BE49-F238E27FC236}">
              <a16:creationId xmlns:a16="http://schemas.microsoft.com/office/drawing/2014/main" id="{00000000-0008-0000-0B00-000018000000}"/>
            </a:ext>
          </a:extLst>
        </xdr:cNvPr>
        <xdr:cNvSpPr txBox="1">
          <a:spLocks noChangeArrowheads="1"/>
        </xdr:cNvSpPr>
      </xdr:nvSpPr>
      <xdr:spPr bwMode="auto">
        <a:xfrm>
          <a:off x="0" y="21140056"/>
          <a:ext cx="3413125" cy="1879713"/>
        </a:xfrm>
        <a:prstGeom prst="rect">
          <a:avLst/>
        </a:prstGeom>
        <a:solidFill>
          <a:srgbClr val="B1CCE6"/>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F</a:t>
          </a:r>
          <a:endParaRPr lang="fr-CA" sz="1200">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S’assurer que les intentions éducatives poursuivies par les activités proposées par des partenaires respectent le Programme de formation de l’école québécoise, le projet éducatif de l’école ainsi que les intérêts et les besoins des élèves, de l’enseignante, de l’enseignant et de l’école.</a:t>
          </a:r>
        </a:p>
        <a:p>
          <a:endParaRPr lang="fr-CA" sz="1100">
            <a:solidFill>
              <a:srgbClr val="000000"/>
            </a:solidFill>
            <a:effectLst/>
            <a:latin typeface="+mn-lt"/>
            <a:ea typeface="+mn-ea"/>
            <a:cs typeface="+mn-cs"/>
          </a:endParaRPr>
        </a:p>
      </xdr:txBody>
    </xdr:sp>
    <xdr:clientData fPrintsWithSheet="0"/>
  </xdr:twoCellAnchor>
  <xdr:twoCellAnchor>
    <xdr:from>
      <xdr:col>0</xdr:col>
      <xdr:colOff>0</xdr:colOff>
      <xdr:row>56</xdr:row>
      <xdr:rowOff>171994</xdr:rowOff>
    </xdr:from>
    <xdr:to>
      <xdr:col>1</xdr:col>
      <xdr:colOff>1421039</xdr:colOff>
      <xdr:row>57</xdr:row>
      <xdr:rowOff>1458686</xdr:rowOff>
    </xdr:to>
    <xdr:sp macro="" textlink="">
      <xdr:nvSpPr>
        <xdr:cNvPr id="13" name="Text Box 12">
          <a:extLst>
            <a:ext uri="{FF2B5EF4-FFF2-40B4-BE49-F238E27FC236}">
              <a16:creationId xmlns:a16="http://schemas.microsoft.com/office/drawing/2014/main" id="{00000000-0008-0000-0B00-00000D000000}"/>
            </a:ext>
          </a:extLst>
        </xdr:cNvPr>
        <xdr:cNvSpPr txBox="1">
          <a:spLocks noChangeArrowheads="1"/>
        </xdr:cNvSpPr>
      </xdr:nvSpPr>
      <xdr:spPr bwMode="auto">
        <a:xfrm>
          <a:off x="0" y="19069594"/>
          <a:ext cx="3413125" cy="1460863"/>
        </a:xfrm>
        <a:prstGeom prst="rect">
          <a:avLst/>
        </a:prstGeom>
        <a:solidFill>
          <a:srgbClr val="B1CCE6"/>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E</a:t>
          </a:r>
          <a:endParaRPr lang="fr-CA" sz="1200">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Saisir les occasions de collaborer avec tout partenaire susceptible d’enrichir l’apprentissage et l’éducation des élèves.</a:t>
          </a:r>
        </a:p>
      </xdr:txBody>
    </xdr:sp>
    <xdr:clientData fPrintsWithSheet="0"/>
  </xdr:twoCellAnchor>
  <xdr:twoCellAnchor>
    <xdr:from>
      <xdr:col>1</xdr:col>
      <xdr:colOff>1606436</xdr:colOff>
      <xdr:row>53</xdr:row>
      <xdr:rowOff>449753</xdr:rowOff>
    </xdr:from>
    <xdr:to>
      <xdr:col>1</xdr:col>
      <xdr:colOff>1971222</xdr:colOff>
      <xdr:row>53</xdr:row>
      <xdr:rowOff>664028</xdr:rowOff>
    </xdr:to>
    <xdr:sp macro="" textlink="">
      <xdr:nvSpPr>
        <xdr:cNvPr id="8" name="Flèche droite 7">
          <a:extLst>
            <a:ext uri="{FF2B5EF4-FFF2-40B4-BE49-F238E27FC236}">
              <a16:creationId xmlns:a16="http://schemas.microsoft.com/office/drawing/2014/main" id="{00000000-0008-0000-0B00-000008000000}"/>
            </a:ext>
          </a:extLst>
        </xdr:cNvPr>
        <xdr:cNvSpPr/>
      </xdr:nvSpPr>
      <xdr:spPr>
        <a:xfrm>
          <a:off x="3606686" y="17461403"/>
          <a:ext cx="364786"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1606436</xdr:colOff>
      <xdr:row>57</xdr:row>
      <xdr:rowOff>515068</xdr:rowOff>
    </xdr:from>
    <xdr:to>
      <xdr:col>1</xdr:col>
      <xdr:colOff>1971222</xdr:colOff>
      <xdr:row>57</xdr:row>
      <xdr:rowOff>729343</xdr:rowOff>
    </xdr:to>
    <xdr:sp macro="" textlink="">
      <xdr:nvSpPr>
        <xdr:cNvPr id="9" name="Flèche droite 7">
          <a:extLst>
            <a:ext uri="{FF2B5EF4-FFF2-40B4-BE49-F238E27FC236}">
              <a16:creationId xmlns:a16="http://schemas.microsoft.com/office/drawing/2014/main" id="{00000000-0008-0000-0B00-000009000000}"/>
            </a:ext>
          </a:extLst>
        </xdr:cNvPr>
        <xdr:cNvSpPr/>
      </xdr:nvSpPr>
      <xdr:spPr>
        <a:xfrm>
          <a:off x="3606686" y="19526968"/>
          <a:ext cx="364786"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1606436</xdr:colOff>
      <xdr:row>61</xdr:row>
      <xdr:rowOff>830754</xdr:rowOff>
    </xdr:from>
    <xdr:to>
      <xdr:col>1</xdr:col>
      <xdr:colOff>1971222</xdr:colOff>
      <xdr:row>61</xdr:row>
      <xdr:rowOff>1045029</xdr:rowOff>
    </xdr:to>
    <xdr:sp macro="" textlink="">
      <xdr:nvSpPr>
        <xdr:cNvPr id="10" name="Flèche droite 7">
          <a:extLst>
            <a:ext uri="{FF2B5EF4-FFF2-40B4-BE49-F238E27FC236}">
              <a16:creationId xmlns:a16="http://schemas.microsoft.com/office/drawing/2014/main" id="{00000000-0008-0000-0B00-00000A000000}"/>
            </a:ext>
          </a:extLst>
        </xdr:cNvPr>
        <xdr:cNvSpPr/>
      </xdr:nvSpPr>
      <xdr:spPr>
        <a:xfrm>
          <a:off x="3606686" y="21881004"/>
          <a:ext cx="364786"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1606436</xdr:colOff>
      <xdr:row>65</xdr:row>
      <xdr:rowOff>482410</xdr:rowOff>
    </xdr:from>
    <xdr:to>
      <xdr:col>1</xdr:col>
      <xdr:colOff>1971222</xdr:colOff>
      <xdr:row>65</xdr:row>
      <xdr:rowOff>696685</xdr:rowOff>
    </xdr:to>
    <xdr:sp macro="" textlink="">
      <xdr:nvSpPr>
        <xdr:cNvPr id="11" name="Flèche droite 7">
          <a:extLst>
            <a:ext uri="{FF2B5EF4-FFF2-40B4-BE49-F238E27FC236}">
              <a16:creationId xmlns:a16="http://schemas.microsoft.com/office/drawing/2014/main" id="{00000000-0008-0000-0B00-00000B000000}"/>
            </a:ext>
          </a:extLst>
        </xdr:cNvPr>
        <xdr:cNvSpPr/>
      </xdr:nvSpPr>
      <xdr:spPr>
        <a:xfrm>
          <a:off x="3606686" y="23952010"/>
          <a:ext cx="364786"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895350</xdr:colOff>
      <xdr:row>41</xdr:row>
      <xdr:rowOff>838200</xdr:rowOff>
    </xdr:from>
    <xdr:to>
      <xdr:col>7</xdr:col>
      <xdr:colOff>1257414</xdr:colOff>
      <xdr:row>41</xdr:row>
      <xdr:rowOff>1052475</xdr:rowOff>
    </xdr:to>
    <xdr:sp macro="" textlink="">
      <xdr:nvSpPr>
        <xdr:cNvPr id="12" name="Flèche droite 7">
          <a:extLst>
            <a:ext uri="{FF2B5EF4-FFF2-40B4-BE49-F238E27FC236}">
              <a16:creationId xmlns:a16="http://schemas.microsoft.com/office/drawing/2014/main" id="{00000000-0008-0000-0B00-00000C000000}"/>
            </a:ext>
          </a:extLst>
        </xdr:cNvPr>
        <xdr:cNvSpPr/>
      </xdr:nvSpPr>
      <xdr:spPr>
        <a:xfrm>
          <a:off x="11353800" y="1118235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895350</xdr:colOff>
      <xdr:row>45</xdr:row>
      <xdr:rowOff>794657</xdr:rowOff>
    </xdr:from>
    <xdr:to>
      <xdr:col>7</xdr:col>
      <xdr:colOff>1257414</xdr:colOff>
      <xdr:row>45</xdr:row>
      <xdr:rowOff>1008932</xdr:rowOff>
    </xdr:to>
    <xdr:sp macro="" textlink="">
      <xdr:nvSpPr>
        <xdr:cNvPr id="14" name="Flèche droite 7">
          <a:extLst>
            <a:ext uri="{FF2B5EF4-FFF2-40B4-BE49-F238E27FC236}">
              <a16:creationId xmlns:a16="http://schemas.microsoft.com/office/drawing/2014/main" id="{00000000-0008-0000-0B00-00000E000000}"/>
            </a:ext>
          </a:extLst>
        </xdr:cNvPr>
        <xdr:cNvSpPr/>
      </xdr:nvSpPr>
      <xdr:spPr>
        <a:xfrm>
          <a:off x="11353800" y="13386707"/>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895350</xdr:colOff>
      <xdr:row>49</xdr:row>
      <xdr:rowOff>598714</xdr:rowOff>
    </xdr:from>
    <xdr:to>
      <xdr:col>7</xdr:col>
      <xdr:colOff>1257414</xdr:colOff>
      <xdr:row>49</xdr:row>
      <xdr:rowOff>812989</xdr:rowOff>
    </xdr:to>
    <xdr:sp macro="" textlink="">
      <xdr:nvSpPr>
        <xdr:cNvPr id="17" name="Flèche droite 7">
          <a:extLst>
            <a:ext uri="{FF2B5EF4-FFF2-40B4-BE49-F238E27FC236}">
              <a16:creationId xmlns:a16="http://schemas.microsoft.com/office/drawing/2014/main" id="{00000000-0008-0000-0B00-000011000000}"/>
            </a:ext>
          </a:extLst>
        </xdr:cNvPr>
        <xdr:cNvSpPr/>
      </xdr:nvSpPr>
      <xdr:spPr>
        <a:xfrm>
          <a:off x="11353800" y="15495814"/>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895350</xdr:colOff>
      <xdr:row>53</xdr:row>
      <xdr:rowOff>359228</xdr:rowOff>
    </xdr:from>
    <xdr:to>
      <xdr:col>7</xdr:col>
      <xdr:colOff>1260136</xdr:colOff>
      <xdr:row>53</xdr:row>
      <xdr:rowOff>573503</xdr:rowOff>
    </xdr:to>
    <xdr:sp macro="" textlink="">
      <xdr:nvSpPr>
        <xdr:cNvPr id="20" name="Flèche droite 7">
          <a:extLst>
            <a:ext uri="{FF2B5EF4-FFF2-40B4-BE49-F238E27FC236}">
              <a16:creationId xmlns:a16="http://schemas.microsoft.com/office/drawing/2014/main" id="{00000000-0008-0000-0B00-000014000000}"/>
            </a:ext>
          </a:extLst>
        </xdr:cNvPr>
        <xdr:cNvSpPr/>
      </xdr:nvSpPr>
      <xdr:spPr>
        <a:xfrm>
          <a:off x="11353800" y="17370878"/>
          <a:ext cx="364786"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895350</xdr:colOff>
      <xdr:row>57</xdr:row>
      <xdr:rowOff>424543</xdr:rowOff>
    </xdr:from>
    <xdr:to>
      <xdr:col>7</xdr:col>
      <xdr:colOff>1260136</xdr:colOff>
      <xdr:row>57</xdr:row>
      <xdr:rowOff>638818</xdr:rowOff>
    </xdr:to>
    <xdr:sp macro="" textlink="">
      <xdr:nvSpPr>
        <xdr:cNvPr id="29" name="Flèche droite 7">
          <a:extLst>
            <a:ext uri="{FF2B5EF4-FFF2-40B4-BE49-F238E27FC236}">
              <a16:creationId xmlns:a16="http://schemas.microsoft.com/office/drawing/2014/main" id="{00000000-0008-0000-0B00-00001D000000}"/>
            </a:ext>
          </a:extLst>
        </xdr:cNvPr>
        <xdr:cNvSpPr/>
      </xdr:nvSpPr>
      <xdr:spPr>
        <a:xfrm>
          <a:off x="11353800" y="19436443"/>
          <a:ext cx="364786"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895350</xdr:colOff>
      <xdr:row>61</xdr:row>
      <xdr:rowOff>740229</xdr:rowOff>
    </xdr:from>
    <xdr:to>
      <xdr:col>7</xdr:col>
      <xdr:colOff>1260136</xdr:colOff>
      <xdr:row>61</xdr:row>
      <xdr:rowOff>954504</xdr:rowOff>
    </xdr:to>
    <xdr:sp macro="" textlink="">
      <xdr:nvSpPr>
        <xdr:cNvPr id="30" name="Flèche droite 7">
          <a:extLst>
            <a:ext uri="{FF2B5EF4-FFF2-40B4-BE49-F238E27FC236}">
              <a16:creationId xmlns:a16="http://schemas.microsoft.com/office/drawing/2014/main" id="{00000000-0008-0000-0B00-00001E000000}"/>
            </a:ext>
          </a:extLst>
        </xdr:cNvPr>
        <xdr:cNvSpPr/>
      </xdr:nvSpPr>
      <xdr:spPr>
        <a:xfrm>
          <a:off x="11353800" y="21790479"/>
          <a:ext cx="364786"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895350</xdr:colOff>
      <xdr:row>65</xdr:row>
      <xdr:rowOff>391885</xdr:rowOff>
    </xdr:from>
    <xdr:to>
      <xdr:col>7</xdr:col>
      <xdr:colOff>1260136</xdr:colOff>
      <xdr:row>65</xdr:row>
      <xdr:rowOff>606160</xdr:rowOff>
    </xdr:to>
    <xdr:sp macro="" textlink="">
      <xdr:nvSpPr>
        <xdr:cNvPr id="31" name="Flèche droite 7">
          <a:extLst>
            <a:ext uri="{FF2B5EF4-FFF2-40B4-BE49-F238E27FC236}">
              <a16:creationId xmlns:a16="http://schemas.microsoft.com/office/drawing/2014/main" id="{00000000-0008-0000-0B00-00001F000000}"/>
            </a:ext>
          </a:extLst>
        </xdr:cNvPr>
        <xdr:cNvSpPr/>
      </xdr:nvSpPr>
      <xdr:spPr>
        <a:xfrm>
          <a:off x="11353800" y="23861485"/>
          <a:ext cx="364786"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editAs="oneCell">
    <xdr:from>
      <xdr:col>4</xdr:col>
      <xdr:colOff>0</xdr:colOff>
      <xdr:row>38</xdr:row>
      <xdr:rowOff>0</xdr:rowOff>
    </xdr:from>
    <xdr:to>
      <xdr:col>5</xdr:col>
      <xdr:colOff>254372</xdr:colOff>
      <xdr:row>38</xdr:row>
      <xdr:rowOff>231774</xdr:rowOff>
    </xdr:to>
    <xdr:pic>
      <xdr:nvPicPr>
        <xdr:cNvPr id="39" name="Image 38">
          <a:extLst>
            <a:ext uri="{FF2B5EF4-FFF2-40B4-BE49-F238E27FC236}">
              <a16:creationId xmlns:a16="http://schemas.microsoft.com/office/drawing/2014/main" id="{00000000-0008-0000-0B00-000027000000}"/>
            </a:ext>
          </a:extLst>
        </xdr:cNvPr>
        <xdr:cNvPicPr>
          <a:picLocks noChangeAspect="1"/>
        </xdr:cNvPicPr>
      </xdr:nvPicPr>
      <xdr:blipFill>
        <a:blip xmlns:r="http://schemas.openxmlformats.org/officeDocument/2006/relationships" r:embed="rId2"/>
        <a:stretch>
          <a:fillRect/>
        </a:stretch>
      </xdr:blipFill>
      <xdr:spPr>
        <a:xfrm>
          <a:off x="6217920" y="9265920"/>
          <a:ext cx="254372" cy="231774"/>
        </a:xfrm>
        <a:prstGeom prst="rect">
          <a:avLst/>
        </a:prstGeom>
      </xdr:spPr>
    </xdr:pic>
    <xdr:clientData/>
  </xdr:twoCellAnchor>
  <xdr:twoCellAnchor>
    <xdr:from>
      <xdr:col>1</xdr:col>
      <xdr:colOff>0</xdr:colOff>
      <xdr:row>77</xdr:row>
      <xdr:rowOff>1</xdr:rowOff>
    </xdr:from>
    <xdr:to>
      <xdr:col>2</xdr:col>
      <xdr:colOff>0</xdr:colOff>
      <xdr:row>79</xdr:row>
      <xdr:rowOff>175259</xdr:rowOff>
    </xdr:to>
    <xdr:sp macro="" textlink="">
      <xdr:nvSpPr>
        <xdr:cNvPr id="19" name="Rectangle : coins arrondis 18" descr="Retour à la Présentation">
          <a:hlinkClick xmlns:r="http://schemas.openxmlformats.org/officeDocument/2006/relationships" r:id="rId4"/>
          <a:extLst>
            <a:ext uri="{FF2B5EF4-FFF2-40B4-BE49-F238E27FC236}">
              <a16:creationId xmlns:a16="http://schemas.microsoft.com/office/drawing/2014/main" id="{00000000-0008-0000-0B00-000013000000}"/>
            </a:ext>
          </a:extLst>
        </xdr:cNvPr>
        <xdr:cNvSpPr/>
      </xdr:nvSpPr>
      <xdr:spPr>
        <a:xfrm>
          <a:off x="2034540" y="26616661"/>
          <a:ext cx="2110740" cy="525778"/>
        </a:xfrm>
        <a:prstGeom prst="roundRect">
          <a:avLst/>
        </a:prstGeom>
        <a:solidFill>
          <a:srgbClr val="74B4B9"/>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Retour à la Présentation</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0</xdr:col>
      <xdr:colOff>76200</xdr:colOff>
      <xdr:row>0</xdr:row>
      <xdr:rowOff>38100</xdr:rowOff>
    </xdr:from>
    <xdr:ext cx="1358900" cy="736600"/>
    <xdr:pic>
      <xdr:nvPicPr>
        <xdr:cNvPr id="2" name="logo_teluq_nb.eps" descr="Logo de l'Université TÉLUQ.">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38100"/>
          <a:ext cx="1358900" cy="736600"/>
        </a:xfrm>
        <a:prstGeom prst="rect">
          <a:avLst/>
        </a:prstGeom>
      </xdr:spPr>
    </xdr:pic>
    <xdr:clientData/>
  </xdr:oneCellAnchor>
  <xdr:twoCellAnchor>
    <xdr:from>
      <xdr:col>0</xdr:col>
      <xdr:colOff>0</xdr:colOff>
      <xdr:row>4</xdr:row>
      <xdr:rowOff>0</xdr:rowOff>
    </xdr:from>
    <xdr:to>
      <xdr:col>9</xdr:col>
      <xdr:colOff>30480</xdr:colOff>
      <xdr:row>11</xdr:row>
      <xdr:rowOff>114300</xdr:rowOff>
    </xdr:to>
    <xdr:sp macro="" textlink="">
      <xdr:nvSpPr>
        <xdr:cNvPr id="3" name="Text Box 12">
          <a:extLst>
            <a:ext uri="{FF2B5EF4-FFF2-40B4-BE49-F238E27FC236}">
              <a16:creationId xmlns:a16="http://schemas.microsoft.com/office/drawing/2014/main" id="{00000000-0008-0000-0C00-000003000000}"/>
            </a:ext>
          </a:extLst>
        </xdr:cNvPr>
        <xdr:cNvSpPr txBox="1">
          <a:spLocks noChangeArrowheads="1"/>
        </xdr:cNvSpPr>
      </xdr:nvSpPr>
      <xdr:spPr bwMode="auto">
        <a:xfrm>
          <a:off x="0" y="1005840"/>
          <a:ext cx="17266920" cy="1341120"/>
        </a:xfrm>
        <a:prstGeom prst="rect">
          <a:avLst/>
        </a:prstGeom>
        <a:solidFill>
          <a:srgbClr val="C0EAED"/>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a:r>
            <a:rPr lang="en-US" sz="1800" b="1" i="0" u="none" strike="noStrike" cap="all" baseline="0">
              <a:solidFill>
                <a:srgbClr val="000000"/>
              </a:solidFill>
              <a:effectLst/>
              <a:latin typeface="+mn-lt"/>
              <a:ea typeface="+mn-ea"/>
              <a:cs typeface="Arial"/>
            </a:rPr>
            <a:t>Champ 3 : une compétence inhérente au professionnalisme enseignant</a:t>
          </a:r>
        </a:p>
        <a:p>
          <a:pPr marL="0" indent="0" algn="l"/>
          <a:endParaRPr lang="en-US" sz="1400" b="1" i="0" u="none" strike="noStrike" cap="all" baseline="0">
            <a:solidFill>
              <a:srgbClr val="000000"/>
            </a:solidFill>
            <a:effectLst/>
            <a:latin typeface="Arial"/>
            <a:ea typeface="+mn-ea"/>
            <a:cs typeface="Arial"/>
          </a:endParaRPr>
        </a:p>
        <a:p>
          <a:pPr algn="l"/>
          <a:r>
            <a:rPr lang="en-US" sz="1400" b="1" i="0" u="none" strike="noStrike" baseline="0">
              <a:solidFill>
                <a:srgbClr val="000000"/>
              </a:solidFill>
              <a:effectLst/>
              <a:latin typeface="Arial"/>
              <a:ea typeface="+mn-ea"/>
              <a:cs typeface="Arial"/>
            </a:rPr>
            <a:t>Compétence 11 : </a:t>
          </a:r>
          <a:r>
            <a:rPr lang="fr-CA" sz="1400" b="1">
              <a:solidFill>
                <a:srgbClr val="000000"/>
              </a:solidFill>
              <a:effectLst/>
              <a:latin typeface="+mn-lt"/>
              <a:ea typeface="+mn-ea"/>
              <a:cs typeface="+mn-cs"/>
            </a:rPr>
            <a:t>S’engager dans un développement professionnel continu et dans la vie de la profession</a:t>
          </a:r>
        </a:p>
        <a:p>
          <a:pPr algn="l"/>
          <a:r>
            <a:rPr lang="fr-CA" sz="1400" i="1">
              <a:solidFill>
                <a:srgbClr val="000000"/>
              </a:solidFill>
              <a:effectLst/>
              <a:latin typeface="+mn-lt"/>
              <a:ea typeface="+mn-ea"/>
              <a:cs typeface="+mn-cs"/>
            </a:rPr>
            <a:t>Analyser, évaluer et développer de manière continue toutes les facettes de sa pratique professionnelle et favoriser la reconnaissance et le rayonnement de la profession enseignante en participant à la valorisation d’une culture professionnelle commune fondée sur l’entraide et la coopération.</a:t>
          </a:r>
        </a:p>
      </xdr:txBody>
    </xdr:sp>
    <xdr:clientData fPrintsWithSheet="0"/>
  </xdr:twoCellAnchor>
  <xdr:twoCellAnchor editAs="oneCell">
    <xdr:from>
      <xdr:col>5</xdr:col>
      <xdr:colOff>1767840</xdr:colOff>
      <xdr:row>23</xdr:row>
      <xdr:rowOff>0</xdr:rowOff>
    </xdr:from>
    <xdr:to>
      <xdr:col>5</xdr:col>
      <xdr:colOff>2028643</xdr:colOff>
      <xdr:row>23</xdr:row>
      <xdr:rowOff>245662</xdr:rowOff>
    </xdr:to>
    <xdr:pic>
      <xdr:nvPicPr>
        <xdr:cNvPr id="4" name="Imag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2"/>
        <a:stretch>
          <a:fillRect/>
        </a:stretch>
      </xdr:blipFill>
      <xdr:spPr>
        <a:xfrm>
          <a:off x="7947660" y="5395270"/>
          <a:ext cx="260803" cy="245662"/>
        </a:xfrm>
        <a:prstGeom prst="rect">
          <a:avLst/>
        </a:prstGeom>
      </xdr:spPr>
    </xdr:pic>
    <xdr:clientData/>
  </xdr:twoCellAnchor>
  <xdr:twoCellAnchor editAs="oneCell">
    <xdr:from>
      <xdr:col>5</xdr:col>
      <xdr:colOff>1670050</xdr:colOff>
      <xdr:row>41</xdr:row>
      <xdr:rowOff>190500</xdr:rowOff>
    </xdr:from>
    <xdr:to>
      <xdr:col>5</xdr:col>
      <xdr:colOff>1930773</xdr:colOff>
      <xdr:row>41</xdr:row>
      <xdr:rowOff>428624</xdr:rowOff>
    </xdr:to>
    <xdr:pic>
      <xdr:nvPicPr>
        <xdr:cNvPr id="16" name="Image 15">
          <a:extLst>
            <a:ext uri="{FF2B5EF4-FFF2-40B4-BE49-F238E27FC236}">
              <a16:creationId xmlns:a16="http://schemas.microsoft.com/office/drawing/2014/main" id="{00000000-0008-0000-0C00-000010000000}"/>
            </a:ext>
          </a:extLst>
        </xdr:cNvPr>
        <xdr:cNvPicPr>
          <a:picLocks noChangeAspect="1"/>
        </xdr:cNvPicPr>
      </xdr:nvPicPr>
      <xdr:blipFill>
        <a:blip xmlns:r="http://schemas.openxmlformats.org/officeDocument/2006/relationships" r:embed="rId2"/>
        <a:stretch>
          <a:fillRect/>
        </a:stretch>
      </xdr:blipFill>
      <xdr:spPr>
        <a:xfrm>
          <a:off x="8013700" y="9601200"/>
          <a:ext cx="260723" cy="238124"/>
        </a:xfrm>
        <a:prstGeom prst="rect">
          <a:avLst/>
        </a:prstGeom>
      </xdr:spPr>
    </xdr:pic>
    <xdr:clientData/>
  </xdr:twoCellAnchor>
  <xdr:twoCellAnchor editAs="oneCell">
    <xdr:from>
      <xdr:col>8</xdr:col>
      <xdr:colOff>1333500</xdr:colOff>
      <xdr:row>4</xdr:row>
      <xdr:rowOff>108858</xdr:rowOff>
    </xdr:from>
    <xdr:to>
      <xdr:col>8</xdr:col>
      <xdr:colOff>1919184</xdr:colOff>
      <xdr:row>7</xdr:row>
      <xdr:rowOff>82172</xdr:rowOff>
    </xdr:to>
    <xdr:pic>
      <xdr:nvPicPr>
        <xdr:cNvPr id="17" name="Image 16">
          <a:extLst>
            <a:ext uri="{FF2B5EF4-FFF2-40B4-BE49-F238E27FC236}">
              <a16:creationId xmlns:a16="http://schemas.microsoft.com/office/drawing/2014/main" id="{00000000-0008-0000-0C00-000011000000}"/>
            </a:ext>
          </a:extLst>
        </xdr:cNvPr>
        <xdr:cNvPicPr>
          <a:picLocks noChangeAspect="1"/>
        </xdr:cNvPicPr>
      </xdr:nvPicPr>
      <xdr:blipFill>
        <a:blip xmlns:r="http://schemas.openxmlformats.org/officeDocument/2006/relationships" r:embed="rId3"/>
        <a:stretch>
          <a:fillRect/>
        </a:stretch>
      </xdr:blipFill>
      <xdr:spPr>
        <a:xfrm>
          <a:off x="15985671" y="1121229"/>
          <a:ext cx="585684" cy="495829"/>
        </a:xfrm>
        <a:prstGeom prst="rect">
          <a:avLst/>
        </a:prstGeom>
      </xdr:spPr>
    </xdr:pic>
    <xdr:clientData/>
  </xdr:twoCellAnchor>
  <xdr:twoCellAnchor>
    <xdr:from>
      <xdr:col>0</xdr:col>
      <xdr:colOff>95249</xdr:colOff>
      <xdr:row>44</xdr:row>
      <xdr:rowOff>6237</xdr:rowOff>
    </xdr:from>
    <xdr:to>
      <xdr:col>1</xdr:col>
      <xdr:colOff>1508124</xdr:colOff>
      <xdr:row>45</xdr:row>
      <xdr:rowOff>0</xdr:rowOff>
    </xdr:to>
    <xdr:sp macro="" textlink="">
      <xdr:nvSpPr>
        <xdr:cNvPr id="41" name="Text Box 12">
          <a:extLst>
            <a:ext uri="{FF2B5EF4-FFF2-40B4-BE49-F238E27FC236}">
              <a16:creationId xmlns:a16="http://schemas.microsoft.com/office/drawing/2014/main" id="{00000000-0008-0000-0C00-000029000000}"/>
            </a:ext>
          </a:extLst>
        </xdr:cNvPr>
        <xdr:cNvSpPr txBox="1">
          <a:spLocks noChangeArrowheads="1"/>
        </xdr:cNvSpPr>
      </xdr:nvSpPr>
      <xdr:spPr bwMode="auto">
        <a:xfrm>
          <a:off x="99059" y="13581267"/>
          <a:ext cx="3062605" cy="1763508"/>
        </a:xfrm>
        <a:prstGeom prst="rect">
          <a:avLst/>
        </a:prstGeom>
        <a:solidFill>
          <a:srgbClr val="C0EAED"/>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pPr marL="0" indent="0"/>
          <a:r>
            <a:rPr lang="fr-CA" sz="1200" b="1" i="0" u="dbl" strike="noStrike" baseline="0">
              <a:solidFill>
                <a:srgbClr val="000000"/>
              </a:solidFill>
              <a:effectLst/>
              <a:latin typeface="Arial"/>
              <a:ea typeface="+mn-ea"/>
              <a:cs typeface="Arial"/>
            </a:rPr>
            <a:t>Dimension A</a:t>
          </a:r>
        </a:p>
        <a:p>
          <a:pPr marL="0" marR="0" lvl="0" indent="0" defTabSz="914400" eaLnBrk="1" fontAlgn="auto" latinLnBrk="0" hangingPunct="1">
            <a:lnSpc>
              <a:spcPct val="100000"/>
            </a:lnSpc>
            <a:spcBef>
              <a:spcPts val="0"/>
            </a:spcBef>
            <a:spcAft>
              <a:spcPts val="0"/>
            </a:spcAft>
            <a:buClrTx/>
            <a:buSzTx/>
            <a:buFontTx/>
            <a:buNone/>
            <a:tabLst/>
            <a:defRPr/>
          </a:pPr>
          <a:endParaRPr lang="fr-FR"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Adopter une posture réflexive vis-à-vis de son enseignement de manière à inscrire sa pratique dans une perspective d’amélioration continue.</a:t>
          </a:r>
          <a:endParaRPr lang="fr-CA" sz="1100">
            <a:solidFill>
              <a:srgbClr val="000000"/>
            </a:solidFill>
            <a:effectLst/>
            <a:latin typeface="+mn-lt"/>
            <a:ea typeface="+mn-ea"/>
            <a:cs typeface="+mn-cs"/>
          </a:endParaRPr>
        </a:p>
        <a:p>
          <a:pPr marL="0" indent="0"/>
          <a:endParaRPr lang="fr-CA" sz="1200" b="1" i="0" u="dbl" strike="noStrike" baseline="0">
            <a:solidFill>
              <a:srgbClr val="000000"/>
            </a:solidFill>
            <a:effectLst/>
            <a:latin typeface="Arial"/>
            <a:ea typeface="+mn-ea"/>
            <a:cs typeface="Arial"/>
          </a:endParaRPr>
        </a:p>
        <a:p>
          <a:pPr marL="0" indent="0"/>
          <a:endParaRPr lang="fr-CA" sz="1200" b="1" i="0" u="dbl" strike="noStrike" baseline="0">
            <a:solidFill>
              <a:srgbClr val="000000"/>
            </a:solidFill>
            <a:effectLst/>
            <a:latin typeface="Arial"/>
            <a:ea typeface="+mn-ea"/>
            <a:cs typeface="Arial"/>
          </a:endParaRPr>
        </a:p>
      </xdr:txBody>
    </xdr:sp>
    <xdr:clientData fPrintsWithSheet="0"/>
  </xdr:twoCellAnchor>
  <xdr:twoCellAnchor>
    <xdr:from>
      <xdr:col>1</xdr:col>
      <xdr:colOff>1758836</xdr:colOff>
      <xdr:row>44</xdr:row>
      <xdr:rowOff>1020165</xdr:rowOff>
    </xdr:from>
    <xdr:to>
      <xdr:col>1</xdr:col>
      <xdr:colOff>2120900</xdr:colOff>
      <xdr:row>44</xdr:row>
      <xdr:rowOff>1234440</xdr:rowOff>
    </xdr:to>
    <xdr:sp macro="" textlink="">
      <xdr:nvSpPr>
        <xdr:cNvPr id="8" name="Flèche droite 7">
          <a:extLst>
            <a:ext uri="{FF2B5EF4-FFF2-40B4-BE49-F238E27FC236}">
              <a16:creationId xmlns:a16="http://schemas.microsoft.com/office/drawing/2014/main" id="{00000000-0008-0000-0C00-000008000000}"/>
            </a:ext>
          </a:extLst>
        </xdr:cNvPr>
        <xdr:cNvSpPr/>
      </xdr:nvSpPr>
      <xdr:spPr>
        <a:xfrm>
          <a:off x="3724796" y="12221565"/>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64769</xdr:colOff>
      <xdr:row>48</xdr:row>
      <xdr:rowOff>189117</xdr:rowOff>
    </xdr:from>
    <xdr:to>
      <xdr:col>1</xdr:col>
      <xdr:colOff>1477644</xdr:colOff>
      <xdr:row>48</xdr:row>
      <xdr:rowOff>1849755</xdr:rowOff>
    </xdr:to>
    <xdr:sp macro="" textlink="">
      <xdr:nvSpPr>
        <xdr:cNvPr id="40" name="Text Box 12">
          <a:extLst>
            <a:ext uri="{FF2B5EF4-FFF2-40B4-BE49-F238E27FC236}">
              <a16:creationId xmlns:a16="http://schemas.microsoft.com/office/drawing/2014/main" id="{00000000-0008-0000-0C00-000028000000}"/>
            </a:ext>
          </a:extLst>
        </xdr:cNvPr>
        <xdr:cNvSpPr txBox="1">
          <a:spLocks noChangeArrowheads="1"/>
        </xdr:cNvSpPr>
      </xdr:nvSpPr>
      <xdr:spPr bwMode="auto">
        <a:xfrm>
          <a:off x="64769" y="14087997"/>
          <a:ext cx="3378835" cy="1660638"/>
        </a:xfrm>
        <a:prstGeom prst="rect">
          <a:avLst/>
        </a:prstGeom>
        <a:solidFill>
          <a:srgbClr val="C0EAED"/>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B</a:t>
          </a:r>
          <a:endParaRPr lang="fr-CA" sz="1200">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Mettre en œuvre les moyens nécessaires pour développer et actualiser ses compétences professionnelles à l’aide des ressources appropriées.</a:t>
          </a:r>
        </a:p>
        <a:p>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1</xdr:col>
      <xdr:colOff>1743596</xdr:colOff>
      <xdr:row>48</xdr:row>
      <xdr:rowOff>989685</xdr:rowOff>
    </xdr:from>
    <xdr:to>
      <xdr:col>1</xdr:col>
      <xdr:colOff>2105660</xdr:colOff>
      <xdr:row>48</xdr:row>
      <xdr:rowOff>1203960</xdr:rowOff>
    </xdr:to>
    <xdr:sp macro="" textlink="">
      <xdr:nvSpPr>
        <xdr:cNvPr id="11" name="Flèche droite 7">
          <a:extLst>
            <a:ext uri="{FF2B5EF4-FFF2-40B4-BE49-F238E27FC236}">
              <a16:creationId xmlns:a16="http://schemas.microsoft.com/office/drawing/2014/main" id="{00000000-0008-0000-0C00-00000B000000}"/>
            </a:ext>
          </a:extLst>
        </xdr:cNvPr>
        <xdr:cNvSpPr/>
      </xdr:nvSpPr>
      <xdr:spPr>
        <a:xfrm>
          <a:off x="3709556" y="14888565"/>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47625</xdr:colOff>
      <xdr:row>52</xdr:row>
      <xdr:rowOff>6237</xdr:rowOff>
    </xdr:from>
    <xdr:to>
      <xdr:col>1</xdr:col>
      <xdr:colOff>1508124</xdr:colOff>
      <xdr:row>53</xdr:row>
      <xdr:rowOff>0</xdr:rowOff>
    </xdr:to>
    <xdr:sp macro="" textlink="">
      <xdr:nvSpPr>
        <xdr:cNvPr id="39" name="Text Box 12">
          <a:extLst>
            <a:ext uri="{FF2B5EF4-FFF2-40B4-BE49-F238E27FC236}">
              <a16:creationId xmlns:a16="http://schemas.microsoft.com/office/drawing/2014/main" id="{00000000-0008-0000-0C00-000027000000}"/>
            </a:ext>
          </a:extLst>
        </xdr:cNvPr>
        <xdr:cNvSpPr txBox="1">
          <a:spLocks noChangeArrowheads="1"/>
        </xdr:cNvSpPr>
      </xdr:nvSpPr>
      <xdr:spPr bwMode="auto">
        <a:xfrm>
          <a:off x="47625" y="19513437"/>
          <a:ext cx="3117849" cy="1717788"/>
        </a:xfrm>
        <a:prstGeom prst="rect">
          <a:avLst/>
        </a:prstGeom>
        <a:solidFill>
          <a:srgbClr val="C0EAED"/>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pPr marL="0" indent="0"/>
          <a:r>
            <a:rPr lang="fr-CA" sz="1200" b="1" i="0" u="dbl" strike="noStrike" baseline="0">
              <a:solidFill>
                <a:srgbClr val="000000"/>
              </a:solidFill>
              <a:effectLst/>
              <a:latin typeface="Arial"/>
              <a:ea typeface="+mn-ea"/>
              <a:cs typeface="Arial"/>
            </a:rPr>
            <a:t>Dimension C</a:t>
          </a:r>
        </a:p>
        <a:p>
          <a:pPr marL="0" indent="0"/>
          <a:endParaRPr lang="fr-CA" sz="1200" b="1" i="0" u="dbl" strike="noStrike" baseline="0">
            <a:solidFill>
              <a:srgbClr val="000000"/>
            </a:solidFill>
            <a:effectLst/>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Participer, en fonction de ses besoins et de ceux de ses élèves, à des activités de formation continue telles qu’elles sont définies à l’article 7 de la </a:t>
          </a:r>
          <a:r>
            <a:rPr lang="fr-FR" sz="1100" i="1">
              <a:solidFill>
                <a:srgbClr val="000000"/>
              </a:solidFill>
              <a:effectLst/>
              <a:latin typeface="+mn-lt"/>
              <a:ea typeface="+mn-ea"/>
              <a:cs typeface="+mn-cs"/>
            </a:rPr>
            <a:t>Loi modifiant principalement la Loi sur l’instruction publique relativement à l’organisation et à la gouvernance scolaires</a:t>
          </a:r>
          <a:r>
            <a:rPr lang="fr-FR" sz="1100">
              <a:solidFill>
                <a:srgbClr val="000000"/>
              </a:solidFill>
              <a:effectLst/>
              <a:latin typeface="+mn-lt"/>
              <a:ea typeface="+mn-ea"/>
              <a:cs typeface="+mn-cs"/>
            </a:rPr>
            <a:t>.</a:t>
          </a:r>
          <a:endParaRPr lang="fr-CA" sz="1100">
            <a:solidFill>
              <a:srgbClr val="000000"/>
            </a:solidFill>
            <a:effectLst/>
            <a:latin typeface="+mn-lt"/>
            <a:ea typeface="+mn-ea"/>
            <a:cs typeface="+mn-cs"/>
          </a:endParaRPr>
        </a:p>
        <a:p>
          <a:pPr marL="0" indent="0"/>
          <a:endParaRPr lang="fr-CA" sz="1200" b="1" i="0" u="dbl" strike="noStrike" baseline="0">
            <a:solidFill>
              <a:srgbClr val="000000"/>
            </a:solidFill>
            <a:effectLst/>
            <a:latin typeface="Arial"/>
            <a:ea typeface="+mn-ea"/>
            <a:cs typeface="Arial"/>
          </a:endParaRPr>
        </a:p>
        <a:p>
          <a:pPr marL="0" indent="0"/>
          <a:endParaRPr lang="fr-CA" sz="1200" b="1" i="0" u="dbl" strike="noStrike" baseline="0">
            <a:solidFill>
              <a:srgbClr val="000000"/>
            </a:solidFill>
            <a:effectLst/>
            <a:latin typeface="Arial"/>
            <a:ea typeface="+mn-ea"/>
            <a:cs typeface="Arial"/>
          </a:endParaRPr>
        </a:p>
      </xdr:txBody>
    </xdr:sp>
    <xdr:clientData fPrintsWithSheet="0"/>
  </xdr:twoCellAnchor>
  <xdr:twoCellAnchor>
    <xdr:from>
      <xdr:col>1</xdr:col>
      <xdr:colOff>1728356</xdr:colOff>
      <xdr:row>52</xdr:row>
      <xdr:rowOff>1081125</xdr:rowOff>
    </xdr:from>
    <xdr:to>
      <xdr:col>1</xdr:col>
      <xdr:colOff>2090420</xdr:colOff>
      <xdr:row>52</xdr:row>
      <xdr:rowOff>1295400</xdr:rowOff>
    </xdr:to>
    <xdr:sp macro="" textlink="">
      <xdr:nvSpPr>
        <xdr:cNvPr id="14" name="Flèche droite 7">
          <a:extLst>
            <a:ext uri="{FF2B5EF4-FFF2-40B4-BE49-F238E27FC236}">
              <a16:creationId xmlns:a16="http://schemas.microsoft.com/office/drawing/2014/main" id="{00000000-0008-0000-0C00-00000E000000}"/>
            </a:ext>
          </a:extLst>
        </xdr:cNvPr>
        <xdr:cNvSpPr/>
      </xdr:nvSpPr>
      <xdr:spPr>
        <a:xfrm>
          <a:off x="3694316" y="17631765"/>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95249</xdr:colOff>
      <xdr:row>56</xdr:row>
      <xdr:rowOff>112917</xdr:rowOff>
    </xdr:from>
    <xdr:to>
      <xdr:col>1</xdr:col>
      <xdr:colOff>1508124</xdr:colOff>
      <xdr:row>56</xdr:row>
      <xdr:rowOff>1981200</xdr:rowOff>
    </xdr:to>
    <xdr:sp macro="" textlink="">
      <xdr:nvSpPr>
        <xdr:cNvPr id="38" name="Text Box 12">
          <a:extLst>
            <a:ext uri="{FF2B5EF4-FFF2-40B4-BE49-F238E27FC236}">
              <a16:creationId xmlns:a16="http://schemas.microsoft.com/office/drawing/2014/main" id="{00000000-0008-0000-0C00-000026000000}"/>
            </a:ext>
          </a:extLst>
        </xdr:cNvPr>
        <xdr:cNvSpPr txBox="1">
          <a:spLocks noChangeArrowheads="1"/>
        </xdr:cNvSpPr>
      </xdr:nvSpPr>
      <xdr:spPr bwMode="auto">
        <a:xfrm>
          <a:off x="95249" y="19376277"/>
          <a:ext cx="3378835" cy="1868283"/>
        </a:xfrm>
        <a:prstGeom prst="rect">
          <a:avLst/>
        </a:prstGeom>
        <a:solidFill>
          <a:srgbClr val="C0EAED"/>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D</a:t>
          </a:r>
        </a:p>
        <a:p>
          <a:pPr marL="0" marR="0" lvl="0" indent="0" defTabSz="914400" eaLnBrk="1" fontAlgn="auto" latinLnBrk="0" hangingPunct="1">
            <a:lnSpc>
              <a:spcPct val="100000"/>
            </a:lnSpc>
            <a:spcBef>
              <a:spcPts val="0"/>
            </a:spcBef>
            <a:spcAft>
              <a:spcPts val="0"/>
            </a:spcAft>
            <a:buClrTx/>
            <a:buSzTx/>
            <a:buFontTx/>
            <a:buNone/>
            <a:tabLst/>
            <a:defRPr/>
          </a:pPr>
          <a:endParaRPr lang="fr-FR"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Lire, analyser et évaluer, de manière critique, des ouvrages spécialisés et en discuter afin d’en retirer des éléments utiles à sa pratique.</a:t>
          </a:r>
          <a:endParaRPr lang="fr-CA" sz="1100">
            <a:solidFill>
              <a:srgbClr val="000000"/>
            </a:solidFill>
            <a:effectLst/>
            <a:latin typeface="+mn-lt"/>
            <a:ea typeface="+mn-ea"/>
            <a:cs typeface="+mn-cs"/>
          </a:endParaRPr>
        </a:p>
        <a:p>
          <a:endParaRPr lang="fr-CA" sz="1100" b="1" i="0" u="dbl" baseline="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1</xdr:col>
      <xdr:colOff>1697876</xdr:colOff>
      <xdr:row>56</xdr:row>
      <xdr:rowOff>1020165</xdr:rowOff>
    </xdr:from>
    <xdr:to>
      <xdr:col>1</xdr:col>
      <xdr:colOff>2059940</xdr:colOff>
      <xdr:row>56</xdr:row>
      <xdr:rowOff>1234440</xdr:rowOff>
    </xdr:to>
    <xdr:sp macro="" textlink="">
      <xdr:nvSpPr>
        <xdr:cNvPr id="24" name="Flèche droite 7">
          <a:extLst>
            <a:ext uri="{FF2B5EF4-FFF2-40B4-BE49-F238E27FC236}">
              <a16:creationId xmlns:a16="http://schemas.microsoft.com/office/drawing/2014/main" id="{00000000-0008-0000-0C00-000018000000}"/>
            </a:ext>
          </a:extLst>
        </xdr:cNvPr>
        <xdr:cNvSpPr/>
      </xdr:nvSpPr>
      <xdr:spPr>
        <a:xfrm>
          <a:off x="3663836" y="20283525"/>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93133</xdr:colOff>
      <xdr:row>60</xdr:row>
      <xdr:rowOff>164253</xdr:rowOff>
    </xdr:from>
    <xdr:to>
      <xdr:col>1</xdr:col>
      <xdr:colOff>1506008</xdr:colOff>
      <xdr:row>61</xdr:row>
      <xdr:rowOff>27630</xdr:rowOff>
    </xdr:to>
    <xdr:sp macro="" textlink="">
      <xdr:nvSpPr>
        <xdr:cNvPr id="37" name="Text Box 12">
          <a:extLst>
            <a:ext uri="{FF2B5EF4-FFF2-40B4-BE49-F238E27FC236}">
              <a16:creationId xmlns:a16="http://schemas.microsoft.com/office/drawing/2014/main" id="{00000000-0008-0000-0C00-000025000000}"/>
            </a:ext>
          </a:extLst>
        </xdr:cNvPr>
        <xdr:cNvSpPr txBox="1">
          <a:spLocks noChangeArrowheads="1"/>
        </xdr:cNvSpPr>
      </xdr:nvSpPr>
      <xdr:spPr bwMode="auto">
        <a:xfrm>
          <a:off x="93133" y="22048893"/>
          <a:ext cx="3378835" cy="1920777"/>
        </a:xfrm>
        <a:prstGeom prst="rect">
          <a:avLst/>
        </a:prstGeom>
        <a:solidFill>
          <a:srgbClr val="C0EAED"/>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E</a:t>
          </a:r>
        </a:p>
        <a:p>
          <a:endParaRPr lang="fr-CA" sz="1100" b="1" i="0" u="dbl" baseline="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Analyser les enjeux éducatifs et les dilemmes professionnels vécus pour enrichir sa pratique et affermir sa posture d’enseignante ou d’enseignant.</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137160</xdr:colOff>
      <xdr:row>65</xdr:row>
      <xdr:rowOff>69427</xdr:rowOff>
    </xdr:from>
    <xdr:to>
      <xdr:col>1</xdr:col>
      <xdr:colOff>1550035</xdr:colOff>
      <xdr:row>65</xdr:row>
      <xdr:rowOff>1985124</xdr:rowOff>
    </xdr:to>
    <xdr:sp macro="" textlink="">
      <xdr:nvSpPr>
        <xdr:cNvPr id="36" name="Text Box 12">
          <a:extLst>
            <a:ext uri="{FF2B5EF4-FFF2-40B4-BE49-F238E27FC236}">
              <a16:creationId xmlns:a16="http://schemas.microsoft.com/office/drawing/2014/main" id="{00000000-0008-0000-0C00-000024000000}"/>
            </a:ext>
          </a:extLst>
        </xdr:cNvPr>
        <xdr:cNvSpPr txBox="1">
          <a:spLocks noChangeArrowheads="1"/>
        </xdr:cNvSpPr>
      </xdr:nvSpPr>
      <xdr:spPr bwMode="auto">
        <a:xfrm>
          <a:off x="137160" y="24773467"/>
          <a:ext cx="3378835" cy="1915697"/>
        </a:xfrm>
        <a:prstGeom prst="rect">
          <a:avLst/>
        </a:prstGeom>
        <a:solidFill>
          <a:srgbClr val="C0EAED"/>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F</a:t>
          </a:r>
        </a:p>
        <a:p>
          <a:endParaRPr lang="fr-CA" sz="1100" b="1" i="0" u="dbl" baseline="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Encourager la tenue d’activités de recherche et de formation au sein de son école.</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138854</xdr:colOff>
      <xdr:row>69</xdr:row>
      <xdr:rowOff>128694</xdr:rowOff>
    </xdr:from>
    <xdr:to>
      <xdr:col>1</xdr:col>
      <xdr:colOff>1551729</xdr:colOff>
      <xdr:row>69</xdr:row>
      <xdr:rowOff>2044391</xdr:rowOff>
    </xdr:to>
    <xdr:sp macro="" textlink="">
      <xdr:nvSpPr>
        <xdr:cNvPr id="35" name="Text Box 12">
          <a:extLst>
            <a:ext uri="{FF2B5EF4-FFF2-40B4-BE49-F238E27FC236}">
              <a16:creationId xmlns:a16="http://schemas.microsoft.com/office/drawing/2014/main" id="{00000000-0008-0000-0C00-000023000000}"/>
            </a:ext>
          </a:extLst>
        </xdr:cNvPr>
        <xdr:cNvSpPr txBox="1">
          <a:spLocks noChangeArrowheads="1"/>
        </xdr:cNvSpPr>
      </xdr:nvSpPr>
      <xdr:spPr bwMode="auto">
        <a:xfrm>
          <a:off x="138854" y="27454014"/>
          <a:ext cx="3378835" cy="1915697"/>
        </a:xfrm>
        <a:prstGeom prst="rect">
          <a:avLst/>
        </a:prstGeom>
        <a:solidFill>
          <a:srgbClr val="C0EAED"/>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G</a:t>
          </a:r>
        </a:p>
        <a:p>
          <a:endParaRPr lang="fr-CA" sz="1100" b="1" i="0" u="dbl" baseline="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Développer une culture collaborative avec ses pairs et la communauté pour le rayonnement et la reconnaissance de la profession enseignante.</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160867</xdr:colOff>
      <xdr:row>73</xdr:row>
      <xdr:rowOff>140546</xdr:rowOff>
    </xdr:from>
    <xdr:to>
      <xdr:col>1</xdr:col>
      <xdr:colOff>1573742</xdr:colOff>
      <xdr:row>73</xdr:row>
      <xdr:rowOff>2061323</xdr:rowOff>
    </xdr:to>
    <xdr:sp macro="" textlink="">
      <xdr:nvSpPr>
        <xdr:cNvPr id="34" name="Text Box 12">
          <a:extLst>
            <a:ext uri="{FF2B5EF4-FFF2-40B4-BE49-F238E27FC236}">
              <a16:creationId xmlns:a16="http://schemas.microsoft.com/office/drawing/2014/main" id="{00000000-0008-0000-0C00-000022000000}"/>
            </a:ext>
          </a:extLst>
        </xdr:cNvPr>
        <xdr:cNvSpPr txBox="1">
          <a:spLocks noChangeArrowheads="1"/>
        </xdr:cNvSpPr>
      </xdr:nvSpPr>
      <xdr:spPr bwMode="auto">
        <a:xfrm>
          <a:off x="160867" y="30285266"/>
          <a:ext cx="3378835" cy="1920777"/>
        </a:xfrm>
        <a:prstGeom prst="rect">
          <a:avLst/>
        </a:prstGeom>
        <a:solidFill>
          <a:srgbClr val="C0EAED"/>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H</a:t>
          </a:r>
        </a:p>
        <a:p>
          <a:endParaRPr lang="fr-CA" sz="1100" b="1" i="0" u="dbl" baseline="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Participer à la promotion et à la diffusion de projets et d’expériences mettant en valeur l’accomplissement et l’engagement des enseignantes, des enseignants et de leurs élèves.</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164254</xdr:colOff>
      <xdr:row>77</xdr:row>
      <xdr:rowOff>328505</xdr:rowOff>
    </xdr:from>
    <xdr:to>
      <xdr:col>1</xdr:col>
      <xdr:colOff>1577129</xdr:colOff>
      <xdr:row>77</xdr:row>
      <xdr:rowOff>2244202</xdr:rowOff>
    </xdr:to>
    <xdr:sp macro="" textlink="">
      <xdr:nvSpPr>
        <xdr:cNvPr id="33" name="Text Box 12">
          <a:extLst>
            <a:ext uri="{FF2B5EF4-FFF2-40B4-BE49-F238E27FC236}">
              <a16:creationId xmlns:a16="http://schemas.microsoft.com/office/drawing/2014/main" id="{00000000-0008-0000-0C00-000021000000}"/>
            </a:ext>
          </a:extLst>
        </xdr:cNvPr>
        <xdr:cNvSpPr txBox="1">
          <a:spLocks noChangeArrowheads="1"/>
        </xdr:cNvSpPr>
      </xdr:nvSpPr>
      <xdr:spPr bwMode="auto">
        <a:xfrm>
          <a:off x="164254" y="33429785"/>
          <a:ext cx="3378835" cy="1915697"/>
        </a:xfrm>
        <a:prstGeom prst="rect">
          <a:avLst/>
        </a:prstGeom>
        <a:solidFill>
          <a:srgbClr val="C0EAED"/>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I</a:t>
          </a:r>
        </a:p>
        <a:p>
          <a:endParaRPr lang="fr-CA" sz="1100" b="1" i="0" u="dbl" baseline="0">
            <a:solidFill>
              <a:srgbClr val="000000"/>
            </a:solidFill>
            <a:effectLst/>
            <a:latin typeface="+mn-lt"/>
            <a:ea typeface="+mn-ea"/>
            <a:cs typeface="+mn-cs"/>
          </a:endParaRPr>
        </a:p>
        <a:p>
          <a:r>
            <a:rPr lang="fr-CA" sz="1100">
              <a:solidFill>
                <a:srgbClr val="000000"/>
              </a:solidFill>
              <a:effectLst/>
              <a:latin typeface="+mn-lt"/>
              <a:ea typeface="+mn-ea"/>
              <a:cs typeface="+mn-cs"/>
            </a:rPr>
            <a:t>Soutenir et encourager ses pairs dans leur développement professionnel, notamment celles et ceux qui se préparent à entrer dans la profession (stagiaires) ou qui viennent de le faire (enseignantes et enseignants en insertion professionnelle).</a:t>
          </a:r>
          <a:r>
            <a:rPr lang="fr-CA">
              <a:solidFill>
                <a:srgbClr val="000000"/>
              </a:solidFill>
              <a:effectLst/>
            </a:rPr>
            <a:t> </a:t>
          </a:r>
          <a:endParaRPr lang="fr-CA" sz="1100">
            <a:solidFill>
              <a:srgbClr val="000000"/>
            </a:solidFill>
            <a:effectLst/>
            <a:latin typeface="+mn-lt"/>
            <a:ea typeface="+mn-ea"/>
            <a:cs typeface="+mn-cs"/>
          </a:endParaRPr>
        </a:p>
      </xdr:txBody>
    </xdr:sp>
    <xdr:clientData fPrintsWithSheet="0"/>
  </xdr:twoCellAnchor>
  <xdr:twoCellAnchor>
    <xdr:from>
      <xdr:col>1</xdr:col>
      <xdr:colOff>1752600</xdr:colOff>
      <xdr:row>60</xdr:row>
      <xdr:rowOff>914400</xdr:rowOff>
    </xdr:from>
    <xdr:to>
      <xdr:col>1</xdr:col>
      <xdr:colOff>2114664</xdr:colOff>
      <xdr:row>60</xdr:row>
      <xdr:rowOff>1128675</xdr:rowOff>
    </xdr:to>
    <xdr:sp macro="" textlink="">
      <xdr:nvSpPr>
        <xdr:cNvPr id="18" name="Flèche droite 7">
          <a:extLst>
            <a:ext uri="{FF2B5EF4-FFF2-40B4-BE49-F238E27FC236}">
              <a16:creationId xmlns:a16="http://schemas.microsoft.com/office/drawing/2014/main" id="{00000000-0008-0000-0C00-000012000000}"/>
            </a:ext>
          </a:extLst>
        </xdr:cNvPr>
        <xdr:cNvSpPr/>
      </xdr:nvSpPr>
      <xdr:spPr>
        <a:xfrm>
          <a:off x="3718560" y="2279904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1767840</xdr:colOff>
      <xdr:row>65</xdr:row>
      <xdr:rowOff>975360</xdr:rowOff>
    </xdr:from>
    <xdr:to>
      <xdr:col>1</xdr:col>
      <xdr:colOff>2129904</xdr:colOff>
      <xdr:row>65</xdr:row>
      <xdr:rowOff>1189635</xdr:rowOff>
    </xdr:to>
    <xdr:sp macro="" textlink="">
      <xdr:nvSpPr>
        <xdr:cNvPr id="19" name="Flèche droite 7">
          <a:extLst>
            <a:ext uri="{FF2B5EF4-FFF2-40B4-BE49-F238E27FC236}">
              <a16:creationId xmlns:a16="http://schemas.microsoft.com/office/drawing/2014/main" id="{00000000-0008-0000-0C00-000013000000}"/>
            </a:ext>
          </a:extLst>
        </xdr:cNvPr>
        <xdr:cNvSpPr/>
      </xdr:nvSpPr>
      <xdr:spPr>
        <a:xfrm>
          <a:off x="3733800" y="2567940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1767840</xdr:colOff>
      <xdr:row>69</xdr:row>
      <xdr:rowOff>960120</xdr:rowOff>
    </xdr:from>
    <xdr:to>
      <xdr:col>1</xdr:col>
      <xdr:colOff>2129904</xdr:colOff>
      <xdr:row>69</xdr:row>
      <xdr:rowOff>1174395</xdr:rowOff>
    </xdr:to>
    <xdr:sp macro="" textlink="">
      <xdr:nvSpPr>
        <xdr:cNvPr id="20" name="Flèche droite 7">
          <a:extLst>
            <a:ext uri="{FF2B5EF4-FFF2-40B4-BE49-F238E27FC236}">
              <a16:creationId xmlns:a16="http://schemas.microsoft.com/office/drawing/2014/main" id="{00000000-0008-0000-0C00-000014000000}"/>
            </a:ext>
          </a:extLst>
        </xdr:cNvPr>
        <xdr:cNvSpPr/>
      </xdr:nvSpPr>
      <xdr:spPr>
        <a:xfrm>
          <a:off x="3733800" y="2828544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1752600</xdr:colOff>
      <xdr:row>73</xdr:row>
      <xdr:rowOff>1005840</xdr:rowOff>
    </xdr:from>
    <xdr:to>
      <xdr:col>1</xdr:col>
      <xdr:colOff>2114664</xdr:colOff>
      <xdr:row>73</xdr:row>
      <xdr:rowOff>1220115</xdr:rowOff>
    </xdr:to>
    <xdr:sp macro="" textlink="">
      <xdr:nvSpPr>
        <xdr:cNvPr id="21" name="Flèche droite 7">
          <a:extLst>
            <a:ext uri="{FF2B5EF4-FFF2-40B4-BE49-F238E27FC236}">
              <a16:creationId xmlns:a16="http://schemas.microsoft.com/office/drawing/2014/main" id="{00000000-0008-0000-0C00-000015000000}"/>
            </a:ext>
          </a:extLst>
        </xdr:cNvPr>
        <xdr:cNvSpPr/>
      </xdr:nvSpPr>
      <xdr:spPr>
        <a:xfrm>
          <a:off x="3718560" y="3115056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1798320</xdr:colOff>
      <xdr:row>77</xdr:row>
      <xdr:rowOff>1203960</xdr:rowOff>
    </xdr:from>
    <xdr:to>
      <xdr:col>1</xdr:col>
      <xdr:colOff>2160384</xdr:colOff>
      <xdr:row>77</xdr:row>
      <xdr:rowOff>1418235</xdr:rowOff>
    </xdr:to>
    <xdr:sp macro="" textlink="">
      <xdr:nvSpPr>
        <xdr:cNvPr id="22" name="Flèche droite 7">
          <a:extLst>
            <a:ext uri="{FF2B5EF4-FFF2-40B4-BE49-F238E27FC236}">
              <a16:creationId xmlns:a16="http://schemas.microsoft.com/office/drawing/2014/main" id="{00000000-0008-0000-0C00-000016000000}"/>
            </a:ext>
          </a:extLst>
        </xdr:cNvPr>
        <xdr:cNvSpPr/>
      </xdr:nvSpPr>
      <xdr:spPr>
        <a:xfrm>
          <a:off x="3764280" y="3430524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1018606</xdr:colOff>
      <xdr:row>44</xdr:row>
      <xdr:rowOff>798098</xdr:rowOff>
    </xdr:from>
    <xdr:to>
      <xdr:col>7</xdr:col>
      <xdr:colOff>1380670</xdr:colOff>
      <xdr:row>44</xdr:row>
      <xdr:rowOff>1012373</xdr:rowOff>
    </xdr:to>
    <xdr:sp macro="" textlink="">
      <xdr:nvSpPr>
        <xdr:cNvPr id="61" name="Flèche droite 7">
          <a:extLst>
            <a:ext uri="{FF2B5EF4-FFF2-40B4-BE49-F238E27FC236}">
              <a16:creationId xmlns:a16="http://schemas.microsoft.com/office/drawing/2014/main" id="{00000000-0008-0000-0C00-00003D000000}"/>
            </a:ext>
          </a:extLst>
        </xdr:cNvPr>
        <xdr:cNvSpPr/>
      </xdr:nvSpPr>
      <xdr:spPr>
        <a:xfrm>
          <a:off x="13675426" y="11389898"/>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1062151</xdr:colOff>
      <xdr:row>48</xdr:row>
      <xdr:rowOff>482411</xdr:rowOff>
    </xdr:from>
    <xdr:to>
      <xdr:col>7</xdr:col>
      <xdr:colOff>1424215</xdr:colOff>
      <xdr:row>48</xdr:row>
      <xdr:rowOff>696686</xdr:rowOff>
    </xdr:to>
    <xdr:sp macro="" textlink="">
      <xdr:nvSpPr>
        <xdr:cNvPr id="62" name="Flèche droite 7">
          <a:extLst>
            <a:ext uri="{FF2B5EF4-FFF2-40B4-BE49-F238E27FC236}">
              <a16:creationId xmlns:a16="http://schemas.microsoft.com/office/drawing/2014/main" id="{00000000-0008-0000-0C00-00003E000000}"/>
            </a:ext>
          </a:extLst>
        </xdr:cNvPr>
        <xdr:cNvSpPr/>
      </xdr:nvSpPr>
      <xdr:spPr>
        <a:xfrm>
          <a:off x="13718971" y="13733591"/>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1116576</xdr:colOff>
      <xdr:row>52</xdr:row>
      <xdr:rowOff>841641</xdr:rowOff>
    </xdr:from>
    <xdr:to>
      <xdr:col>7</xdr:col>
      <xdr:colOff>1478640</xdr:colOff>
      <xdr:row>52</xdr:row>
      <xdr:rowOff>1055916</xdr:rowOff>
    </xdr:to>
    <xdr:sp macro="" textlink="">
      <xdr:nvSpPr>
        <xdr:cNvPr id="63" name="Flèche droite 7">
          <a:extLst>
            <a:ext uri="{FF2B5EF4-FFF2-40B4-BE49-F238E27FC236}">
              <a16:creationId xmlns:a16="http://schemas.microsoft.com/office/drawing/2014/main" id="{00000000-0008-0000-0C00-00003F000000}"/>
            </a:ext>
          </a:extLst>
        </xdr:cNvPr>
        <xdr:cNvSpPr/>
      </xdr:nvSpPr>
      <xdr:spPr>
        <a:xfrm>
          <a:off x="13773396" y="16706481"/>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1116576</xdr:colOff>
      <xdr:row>56</xdr:row>
      <xdr:rowOff>841641</xdr:rowOff>
    </xdr:from>
    <xdr:to>
      <xdr:col>7</xdr:col>
      <xdr:colOff>1478640</xdr:colOff>
      <xdr:row>56</xdr:row>
      <xdr:rowOff>1055916</xdr:rowOff>
    </xdr:to>
    <xdr:sp macro="" textlink="">
      <xdr:nvSpPr>
        <xdr:cNvPr id="64" name="Flèche droite 7">
          <a:extLst>
            <a:ext uri="{FF2B5EF4-FFF2-40B4-BE49-F238E27FC236}">
              <a16:creationId xmlns:a16="http://schemas.microsoft.com/office/drawing/2014/main" id="{00000000-0008-0000-0C00-000040000000}"/>
            </a:ext>
          </a:extLst>
        </xdr:cNvPr>
        <xdr:cNvSpPr/>
      </xdr:nvSpPr>
      <xdr:spPr>
        <a:xfrm>
          <a:off x="13773396" y="19396341"/>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1116576</xdr:colOff>
      <xdr:row>65</xdr:row>
      <xdr:rowOff>841641</xdr:rowOff>
    </xdr:from>
    <xdr:to>
      <xdr:col>7</xdr:col>
      <xdr:colOff>1478640</xdr:colOff>
      <xdr:row>65</xdr:row>
      <xdr:rowOff>1055916</xdr:rowOff>
    </xdr:to>
    <xdr:sp macro="" textlink="">
      <xdr:nvSpPr>
        <xdr:cNvPr id="66" name="Flèche droite 7">
          <a:extLst>
            <a:ext uri="{FF2B5EF4-FFF2-40B4-BE49-F238E27FC236}">
              <a16:creationId xmlns:a16="http://schemas.microsoft.com/office/drawing/2014/main" id="{00000000-0008-0000-0C00-000042000000}"/>
            </a:ext>
          </a:extLst>
        </xdr:cNvPr>
        <xdr:cNvSpPr/>
      </xdr:nvSpPr>
      <xdr:spPr>
        <a:xfrm>
          <a:off x="13773396" y="24661761"/>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1090846</xdr:colOff>
      <xdr:row>73</xdr:row>
      <xdr:rowOff>630854</xdr:rowOff>
    </xdr:from>
    <xdr:to>
      <xdr:col>7</xdr:col>
      <xdr:colOff>1452910</xdr:colOff>
      <xdr:row>73</xdr:row>
      <xdr:rowOff>845129</xdr:rowOff>
    </xdr:to>
    <xdr:sp macro="" textlink="">
      <xdr:nvSpPr>
        <xdr:cNvPr id="67" name="Flèche droite 7">
          <a:extLst>
            <a:ext uri="{FF2B5EF4-FFF2-40B4-BE49-F238E27FC236}">
              <a16:creationId xmlns:a16="http://schemas.microsoft.com/office/drawing/2014/main" id="{00000000-0008-0000-0C00-000043000000}"/>
            </a:ext>
          </a:extLst>
        </xdr:cNvPr>
        <xdr:cNvSpPr/>
      </xdr:nvSpPr>
      <xdr:spPr>
        <a:xfrm>
          <a:off x="13747666" y="29472554"/>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1118555</xdr:colOff>
      <xdr:row>69</xdr:row>
      <xdr:rowOff>741691</xdr:rowOff>
    </xdr:from>
    <xdr:to>
      <xdr:col>7</xdr:col>
      <xdr:colOff>1480619</xdr:colOff>
      <xdr:row>69</xdr:row>
      <xdr:rowOff>955966</xdr:rowOff>
    </xdr:to>
    <xdr:sp macro="" textlink="">
      <xdr:nvSpPr>
        <xdr:cNvPr id="68" name="Flèche droite 7">
          <a:extLst>
            <a:ext uri="{FF2B5EF4-FFF2-40B4-BE49-F238E27FC236}">
              <a16:creationId xmlns:a16="http://schemas.microsoft.com/office/drawing/2014/main" id="{00000000-0008-0000-0C00-000044000000}"/>
            </a:ext>
          </a:extLst>
        </xdr:cNvPr>
        <xdr:cNvSpPr/>
      </xdr:nvSpPr>
      <xdr:spPr>
        <a:xfrm>
          <a:off x="13775375" y="27137371"/>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1049282</xdr:colOff>
      <xdr:row>77</xdr:row>
      <xdr:rowOff>575437</xdr:rowOff>
    </xdr:from>
    <xdr:to>
      <xdr:col>7</xdr:col>
      <xdr:colOff>1411346</xdr:colOff>
      <xdr:row>77</xdr:row>
      <xdr:rowOff>789712</xdr:rowOff>
    </xdr:to>
    <xdr:sp macro="" textlink="">
      <xdr:nvSpPr>
        <xdr:cNvPr id="69" name="Flèche droite 7">
          <a:extLst>
            <a:ext uri="{FF2B5EF4-FFF2-40B4-BE49-F238E27FC236}">
              <a16:creationId xmlns:a16="http://schemas.microsoft.com/office/drawing/2014/main" id="{00000000-0008-0000-0C00-000045000000}"/>
            </a:ext>
          </a:extLst>
        </xdr:cNvPr>
        <xdr:cNvSpPr/>
      </xdr:nvSpPr>
      <xdr:spPr>
        <a:xfrm>
          <a:off x="13706102" y="31733617"/>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1067046</xdr:colOff>
      <xdr:row>60</xdr:row>
      <xdr:rowOff>860691</xdr:rowOff>
    </xdr:from>
    <xdr:to>
      <xdr:col>7</xdr:col>
      <xdr:colOff>1429110</xdr:colOff>
      <xdr:row>60</xdr:row>
      <xdr:rowOff>1074966</xdr:rowOff>
    </xdr:to>
    <xdr:sp macro="" textlink="">
      <xdr:nvSpPr>
        <xdr:cNvPr id="70" name="Flèche droite 7">
          <a:extLst>
            <a:ext uri="{FF2B5EF4-FFF2-40B4-BE49-F238E27FC236}">
              <a16:creationId xmlns:a16="http://schemas.microsoft.com/office/drawing/2014/main" id="{00000000-0008-0000-0C00-000046000000}"/>
            </a:ext>
          </a:extLst>
        </xdr:cNvPr>
        <xdr:cNvSpPr/>
      </xdr:nvSpPr>
      <xdr:spPr>
        <a:xfrm>
          <a:off x="14021046" y="21910941"/>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0</xdr:colOff>
      <xdr:row>86</xdr:row>
      <xdr:rowOff>1</xdr:rowOff>
    </xdr:from>
    <xdr:to>
      <xdr:col>2</xdr:col>
      <xdr:colOff>0</xdr:colOff>
      <xdr:row>88</xdr:row>
      <xdr:rowOff>175259</xdr:rowOff>
    </xdr:to>
    <xdr:sp macro="" textlink="">
      <xdr:nvSpPr>
        <xdr:cNvPr id="9" name="Rectangle : coins arrondis 8" descr="Retour à la Présentation">
          <a:hlinkClick xmlns:r="http://schemas.openxmlformats.org/officeDocument/2006/relationships" r:id="rId4"/>
          <a:extLst>
            <a:ext uri="{FF2B5EF4-FFF2-40B4-BE49-F238E27FC236}">
              <a16:creationId xmlns:a16="http://schemas.microsoft.com/office/drawing/2014/main" id="{00000000-0008-0000-0C00-000009000000}"/>
            </a:ext>
          </a:extLst>
        </xdr:cNvPr>
        <xdr:cNvSpPr/>
      </xdr:nvSpPr>
      <xdr:spPr>
        <a:xfrm>
          <a:off x="2034540" y="36217861"/>
          <a:ext cx="2110740" cy="525778"/>
        </a:xfrm>
        <a:prstGeom prst="roundRect">
          <a:avLst/>
        </a:prstGeom>
        <a:solidFill>
          <a:srgbClr val="74B4B9"/>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Retour à la Présentation</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0</xdr:col>
      <xdr:colOff>76200</xdr:colOff>
      <xdr:row>0</xdr:row>
      <xdr:rowOff>38100</xdr:rowOff>
    </xdr:from>
    <xdr:ext cx="1358900" cy="736600"/>
    <xdr:pic>
      <xdr:nvPicPr>
        <xdr:cNvPr id="2" name="logo_teluq_nb.eps" descr="Logo de l'Université TÉLUQ.">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38100"/>
          <a:ext cx="1358900" cy="736600"/>
        </a:xfrm>
        <a:prstGeom prst="rect">
          <a:avLst/>
        </a:prstGeom>
      </xdr:spPr>
    </xdr:pic>
    <xdr:clientData/>
  </xdr:oneCellAnchor>
  <xdr:twoCellAnchor>
    <xdr:from>
      <xdr:col>0</xdr:col>
      <xdr:colOff>0</xdr:colOff>
      <xdr:row>4</xdr:row>
      <xdr:rowOff>0</xdr:rowOff>
    </xdr:from>
    <xdr:to>
      <xdr:col>9</xdr:col>
      <xdr:colOff>30480</xdr:colOff>
      <xdr:row>11</xdr:row>
      <xdr:rowOff>114300</xdr:rowOff>
    </xdr:to>
    <xdr:sp macro="" textlink="">
      <xdr:nvSpPr>
        <xdr:cNvPr id="3" name="Text Box 12">
          <a:extLst>
            <a:ext uri="{FF2B5EF4-FFF2-40B4-BE49-F238E27FC236}">
              <a16:creationId xmlns:a16="http://schemas.microsoft.com/office/drawing/2014/main" id="{00000000-0008-0000-0D00-000003000000}"/>
            </a:ext>
          </a:extLst>
        </xdr:cNvPr>
        <xdr:cNvSpPr txBox="1">
          <a:spLocks noChangeArrowheads="1"/>
        </xdr:cNvSpPr>
      </xdr:nvSpPr>
      <xdr:spPr bwMode="auto">
        <a:xfrm>
          <a:off x="0" y="1005840"/>
          <a:ext cx="17266920" cy="1341120"/>
        </a:xfrm>
        <a:prstGeom prst="rect">
          <a:avLst/>
        </a:prstGeom>
        <a:solidFill>
          <a:srgbClr val="CFCECE"/>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a:r>
            <a:rPr lang="en-US" sz="1800" b="1" i="0" u="none" strike="noStrike" cap="all" baseline="0">
              <a:solidFill>
                <a:srgbClr val="000000"/>
              </a:solidFill>
              <a:effectLst/>
              <a:latin typeface="+mn-lt"/>
              <a:ea typeface="+mn-ea"/>
              <a:cs typeface="Arial"/>
            </a:rPr>
            <a:t>Deux compétences transversales</a:t>
          </a:r>
          <a:endParaRPr lang="en-US" sz="1400" b="1" i="0" u="none" strike="noStrike" baseline="0">
            <a:solidFill>
              <a:srgbClr val="000000"/>
            </a:solidFill>
            <a:effectLst/>
            <a:latin typeface="Arial"/>
            <a:ea typeface="+mn-ea"/>
            <a:cs typeface="Arial"/>
          </a:endParaRPr>
        </a:p>
        <a:p>
          <a:pPr algn="l"/>
          <a:r>
            <a:rPr lang="en-US" sz="1400" b="1" i="0" u="none" strike="noStrike" baseline="0">
              <a:solidFill>
                <a:srgbClr val="000000"/>
              </a:solidFill>
              <a:effectLst/>
              <a:latin typeface="Arial"/>
              <a:ea typeface="+mn-ea"/>
              <a:cs typeface="Arial"/>
            </a:rPr>
            <a:t>Compétence 12 :</a:t>
          </a:r>
          <a:r>
            <a:rPr lang="fr-CA" sz="1400" b="1">
              <a:solidFill>
                <a:srgbClr val="000000"/>
              </a:solidFill>
              <a:effectLst/>
              <a:latin typeface="+mn-lt"/>
              <a:ea typeface="+mn-ea"/>
              <a:cs typeface="+mn-cs"/>
            </a:rPr>
            <a:t> Mobiliser le numérique</a:t>
          </a:r>
        </a:p>
        <a:p>
          <a:pPr algn="l"/>
          <a:r>
            <a:rPr lang="fr-CA" sz="1400" i="1">
              <a:solidFill>
                <a:srgbClr val="000000"/>
              </a:solidFill>
              <a:effectLst/>
              <a:latin typeface="+mn-lt"/>
              <a:ea typeface="+mn-ea"/>
              <a:cs typeface="+mn-cs"/>
            </a:rPr>
            <a:t>Utiliser le numérique afin d’en faire bénéficier les élèves ainsi que l’ensemble des actrices et acteurs éducatifs.</a:t>
          </a:r>
        </a:p>
      </xdr:txBody>
    </xdr:sp>
    <xdr:clientData fPrintsWithSheet="0"/>
  </xdr:twoCellAnchor>
  <xdr:twoCellAnchor editAs="oneCell">
    <xdr:from>
      <xdr:col>5</xdr:col>
      <xdr:colOff>1981200</xdr:colOff>
      <xdr:row>23</xdr:row>
      <xdr:rowOff>2992</xdr:rowOff>
    </xdr:from>
    <xdr:to>
      <xdr:col>6</xdr:col>
      <xdr:colOff>131263</xdr:colOff>
      <xdr:row>23</xdr:row>
      <xdr:rowOff>250190</xdr:rowOff>
    </xdr:to>
    <xdr:pic>
      <xdr:nvPicPr>
        <xdr:cNvPr id="6" name="Image 5">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2"/>
        <a:stretch>
          <a:fillRect/>
        </a:stretch>
      </xdr:blipFill>
      <xdr:spPr>
        <a:xfrm>
          <a:off x="8206740" y="6007552"/>
          <a:ext cx="260803" cy="247198"/>
        </a:xfrm>
        <a:prstGeom prst="rect">
          <a:avLst/>
        </a:prstGeom>
      </xdr:spPr>
    </xdr:pic>
    <xdr:clientData/>
  </xdr:twoCellAnchor>
  <xdr:twoCellAnchor editAs="oneCell">
    <xdr:from>
      <xdr:col>5</xdr:col>
      <xdr:colOff>1462750</xdr:colOff>
      <xdr:row>42</xdr:row>
      <xdr:rowOff>282121</xdr:rowOff>
    </xdr:from>
    <xdr:to>
      <xdr:col>5</xdr:col>
      <xdr:colOff>1717122</xdr:colOff>
      <xdr:row>43</xdr:row>
      <xdr:rowOff>209095</xdr:rowOff>
    </xdr:to>
    <xdr:pic>
      <xdr:nvPicPr>
        <xdr:cNvPr id="7" name="Image 6">
          <a:extLst>
            <a:ext uri="{FF2B5EF4-FFF2-40B4-BE49-F238E27FC236}">
              <a16:creationId xmlns:a16="http://schemas.microsoft.com/office/drawing/2014/main" id="{00000000-0008-0000-0D00-000007000000}"/>
            </a:ext>
          </a:extLst>
        </xdr:cNvPr>
        <xdr:cNvPicPr>
          <a:picLocks noChangeAspect="1"/>
        </xdr:cNvPicPr>
      </xdr:nvPicPr>
      <xdr:blipFill>
        <a:blip xmlns:r="http://schemas.openxmlformats.org/officeDocument/2006/relationships" r:embed="rId2"/>
        <a:stretch>
          <a:fillRect/>
        </a:stretch>
      </xdr:blipFill>
      <xdr:spPr>
        <a:xfrm>
          <a:off x="7692100" y="10473871"/>
          <a:ext cx="254372" cy="231774"/>
        </a:xfrm>
        <a:prstGeom prst="rect">
          <a:avLst/>
        </a:prstGeom>
      </xdr:spPr>
    </xdr:pic>
    <xdr:clientData/>
  </xdr:twoCellAnchor>
  <xdr:twoCellAnchor editAs="oneCell">
    <xdr:from>
      <xdr:col>8</xdr:col>
      <xdr:colOff>1047329</xdr:colOff>
      <xdr:row>4</xdr:row>
      <xdr:rowOff>141335</xdr:rowOff>
    </xdr:from>
    <xdr:to>
      <xdr:col>8</xdr:col>
      <xdr:colOff>1566286</xdr:colOff>
      <xdr:row>8</xdr:row>
      <xdr:rowOff>21773</xdr:rowOff>
    </xdr:to>
    <xdr:pic>
      <xdr:nvPicPr>
        <xdr:cNvPr id="24" name="Imag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3"/>
        <a:stretch>
          <a:fillRect/>
        </a:stretch>
      </xdr:blipFill>
      <xdr:spPr>
        <a:xfrm>
          <a:off x="14861300" y="1153706"/>
          <a:ext cx="518957" cy="577124"/>
        </a:xfrm>
        <a:prstGeom prst="rect">
          <a:avLst/>
        </a:prstGeom>
      </xdr:spPr>
    </xdr:pic>
    <xdr:clientData/>
  </xdr:twoCellAnchor>
  <xdr:twoCellAnchor>
    <xdr:from>
      <xdr:col>0</xdr:col>
      <xdr:colOff>88900</xdr:colOff>
      <xdr:row>46</xdr:row>
      <xdr:rowOff>6237</xdr:rowOff>
    </xdr:from>
    <xdr:to>
      <xdr:col>1</xdr:col>
      <xdr:colOff>1501775</xdr:colOff>
      <xdr:row>47</xdr:row>
      <xdr:rowOff>0</xdr:rowOff>
    </xdr:to>
    <xdr:sp macro="" textlink="">
      <xdr:nvSpPr>
        <xdr:cNvPr id="58" name="Text Box 12">
          <a:extLst>
            <a:ext uri="{FF2B5EF4-FFF2-40B4-BE49-F238E27FC236}">
              <a16:creationId xmlns:a16="http://schemas.microsoft.com/office/drawing/2014/main" id="{00000000-0008-0000-0D00-00003A000000}"/>
            </a:ext>
          </a:extLst>
        </xdr:cNvPr>
        <xdr:cNvSpPr txBox="1">
          <a:spLocks noChangeArrowheads="1"/>
        </xdr:cNvSpPr>
      </xdr:nvSpPr>
      <xdr:spPr bwMode="auto">
        <a:xfrm>
          <a:off x="88900" y="11702937"/>
          <a:ext cx="3413125" cy="1841613"/>
        </a:xfrm>
        <a:prstGeom prst="rect">
          <a:avLst/>
        </a:prstGeom>
        <a:solidFill>
          <a:srgbClr val="CFCECE"/>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pPr marL="0" indent="0"/>
          <a:r>
            <a:rPr lang="fr-CA" sz="1200" b="1" i="0" u="dbl" strike="noStrike" baseline="0">
              <a:solidFill>
                <a:srgbClr val="000000"/>
              </a:solidFill>
              <a:effectLst/>
              <a:latin typeface="Arial"/>
              <a:ea typeface="+mn-ea"/>
              <a:cs typeface="Arial"/>
            </a:rPr>
            <a:t>Dimension A</a:t>
          </a:r>
        </a:p>
        <a:p>
          <a:pPr marL="0" indent="0"/>
          <a:endParaRPr lang="fr-CA" sz="1200" b="1" i="0" u="dbl" strike="noStrike" baseline="0">
            <a:solidFill>
              <a:srgbClr val="000000"/>
            </a:solidFill>
            <a:effectLst/>
            <a:latin typeface="Arial"/>
            <a:ea typeface="+mn-ea"/>
            <a:cs typeface="Arial"/>
          </a:endParaRPr>
        </a:p>
        <a:p>
          <a:pPr lvl="0"/>
          <a:r>
            <a:rPr lang="fr-CA" sz="1100">
              <a:solidFill>
                <a:srgbClr val="000000"/>
              </a:solidFill>
              <a:effectLst/>
              <a:latin typeface="+mn-lt"/>
              <a:ea typeface="+mn-ea"/>
              <a:cs typeface="+mn-cs"/>
            </a:rPr>
            <a:t>Agir en citoyen éthique à l’ère du numérique.</a:t>
          </a:r>
        </a:p>
      </xdr:txBody>
    </xdr:sp>
    <xdr:clientData fPrintsWithSheet="0"/>
  </xdr:twoCellAnchor>
  <xdr:twoCellAnchor>
    <xdr:from>
      <xdr:col>1</xdr:col>
      <xdr:colOff>1574800</xdr:colOff>
      <xdr:row>46</xdr:row>
      <xdr:rowOff>801725</xdr:rowOff>
    </xdr:from>
    <xdr:to>
      <xdr:col>1</xdr:col>
      <xdr:colOff>1936864</xdr:colOff>
      <xdr:row>46</xdr:row>
      <xdr:rowOff>1016000</xdr:rowOff>
    </xdr:to>
    <xdr:sp macro="" textlink="">
      <xdr:nvSpPr>
        <xdr:cNvPr id="25" name="Flèche droite 7">
          <a:extLst>
            <a:ext uri="{FF2B5EF4-FFF2-40B4-BE49-F238E27FC236}">
              <a16:creationId xmlns:a16="http://schemas.microsoft.com/office/drawing/2014/main" id="{00000000-0008-0000-0D00-000019000000}"/>
            </a:ext>
          </a:extLst>
        </xdr:cNvPr>
        <xdr:cNvSpPr/>
      </xdr:nvSpPr>
      <xdr:spPr>
        <a:xfrm>
          <a:off x="3575050" y="12498425"/>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88900</xdr:colOff>
      <xdr:row>50</xdr:row>
      <xdr:rowOff>6237</xdr:rowOff>
    </xdr:from>
    <xdr:to>
      <xdr:col>1</xdr:col>
      <xdr:colOff>1501775</xdr:colOff>
      <xdr:row>51</xdr:row>
      <xdr:rowOff>0</xdr:rowOff>
    </xdr:to>
    <xdr:sp macro="" textlink="">
      <xdr:nvSpPr>
        <xdr:cNvPr id="57" name="Text Box 12">
          <a:extLst>
            <a:ext uri="{FF2B5EF4-FFF2-40B4-BE49-F238E27FC236}">
              <a16:creationId xmlns:a16="http://schemas.microsoft.com/office/drawing/2014/main" id="{00000000-0008-0000-0D00-000039000000}"/>
            </a:ext>
          </a:extLst>
        </xdr:cNvPr>
        <xdr:cNvSpPr txBox="1">
          <a:spLocks noChangeArrowheads="1"/>
        </xdr:cNvSpPr>
      </xdr:nvSpPr>
      <xdr:spPr bwMode="auto">
        <a:xfrm>
          <a:off x="88900" y="14141337"/>
          <a:ext cx="3413125" cy="1917813"/>
        </a:xfrm>
        <a:prstGeom prst="rect">
          <a:avLst/>
        </a:prstGeom>
        <a:solidFill>
          <a:srgbClr val="CFCECE"/>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B</a:t>
          </a:r>
          <a:endParaRPr lang="fr-CA" sz="1200">
            <a:solidFill>
              <a:srgbClr val="000000"/>
            </a:solidFill>
            <a:effectLst/>
          </a:endParaRPr>
        </a:p>
        <a:p>
          <a:endParaRPr lang="fr-CA" sz="1100">
            <a:solidFill>
              <a:srgbClr val="000000"/>
            </a:solidFill>
            <a:effectLst/>
            <a:latin typeface="+mn-lt"/>
            <a:ea typeface="+mn-ea"/>
            <a:cs typeface="+mn-cs"/>
          </a:endParaRPr>
        </a:p>
        <a:p>
          <a:pPr lvl="0"/>
          <a:r>
            <a:rPr lang="fr-CA" sz="1100">
              <a:solidFill>
                <a:srgbClr val="000000"/>
              </a:solidFill>
              <a:effectLst/>
              <a:latin typeface="+mn-lt"/>
              <a:ea typeface="+mn-ea"/>
              <a:cs typeface="+mn-cs"/>
            </a:rPr>
            <a:t>Développer et mobiliser ses habiletés technologiques.</a:t>
          </a:r>
        </a:p>
      </xdr:txBody>
    </xdr:sp>
    <xdr:clientData fPrintsWithSheet="0"/>
  </xdr:twoCellAnchor>
  <xdr:twoCellAnchor>
    <xdr:from>
      <xdr:col>1</xdr:col>
      <xdr:colOff>1574800</xdr:colOff>
      <xdr:row>50</xdr:row>
      <xdr:rowOff>1081125</xdr:rowOff>
    </xdr:from>
    <xdr:to>
      <xdr:col>1</xdr:col>
      <xdr:colOff>1936864</xdr:colOff>
      <xdr:row>50</xdr:row>
      <xdr:rowOff>1295400</xdr:rowOff>
    </xdr:to>
    <xdr:sp macro="" textlink="">
      <xdr:nvSpPr>
        <xdr:cNvPr id="28" name="Flèche droite 7">
          <a:extLst>
            <a:ext uri="{FF2B5EF4-FFF2-40B4-BE49-F238E27FC236}">
              <a16:creationId xmlns:a16="http://schemas.microsoft.com/office/drawing/2014/main" id="{00000000-0008-0000-0D00-00001C000000}"/>
            </a:ext>
          </a:extLst>
        </xdr:cNvPr>
        <xdr:cNvSpPr/>
      </xdr:nvSpPr>
      <xdr:spPr>
        <a:xfrm>
          <a:off x="3575050" y="15216225"/>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88900</xdr:colOff>
      <xdr:row>54</xdr:row>
      <xdr:rowOff>6237</xdr:rowOff>
    </xdr:from>
    <xdr:to>
      <xdr:col>1</xdr:col>
      <xdr:colOff>1501775</xdr:colOff>
      <xdr:row>55</xdr:row>
      <xdr:rowOff>0</xdr:rowOff>
    </xdr:to>
    <xdr:sp macro="" textlink="">
      <xdr:nvSpPr>
        <xdr:cNvPr id="56" name="Text Box 12">
          <a:extLst>
            <a:ext uri="{FF2B5EF4-FFF2-40B4-BE49-F238E27FC236}">
              <a16:creationId xmlns:a16="http://schemas.microsoft.com/office/drawing/2014/main" id="{00000000-0008-0000-0D00-000038000000}"/>
            </a:ext>
          </a:extLst>
        </xdr:cNvPr>
        <xdr:cNvSpPr txBox="1">
          <a:spLocks noChangeArrowheads="1"/>
        </xdr:cNvSpPr>
      </xdr:nvSpPr>
      <xdr:spPr bwMode="auto">
        <a:xfrm>
          <a:off x="88900" y="16655937"/>
          <a:ext cx="3413125" cy="1841613"/>
        </a:xfrm>
        <a:prstGeom prst="rect">
          <a:avLst/>
        </a:prstGeom>
        <a:solidFill>
          <a:srgbClr val="CFCECE"/>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C</a:t>
          </a: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Exploiter le potentiel du numérique pour l’apprentissage.</a:t>
          </a:r>
          <a:endParaRPr lang="fr-CA" sz="1100">
            <a:solidFill>
              <a:srgbClr val="000000"/>
            </a:solidFill>
            <a:effectLst/>
            <a:latin typeface="+mn-lt"/>
            <a:ea typeface="+mn-ea"/>
            <a:cs typeface="+mn-cs"/>
          </a:endParaRPr>
        </a:p>
        <a:p>
          <a:endParaRPr lang="fr-CA" sz="1200">
            <a:solidFill>
              <a:srgbClr val="000000"/>
            </a:solidFill>
            <a:effectLst/>
          </a:endParaRPr>
        </a:p>
      </xdr:txBody>
    </xdr:sp>
    <xdr:clientData fPrintsWithSheet="0"/>
  </xdr:twoCellAnchor>
  <xdr:twoCellAnchor>
    <xdr:from>
      <xdr:col>1</xdr:col>
      <xdr:colOff>1555750</xdr:colOff>
      <xdr:row>54</xdr:row>
      <xdr:rowOff>795375</xdr:rowOff>
    </xdr:from>
    <xdr:to>
      <xdr:col>1</xdr:col>
      <xdr:colOff>1917814</xdr:colOff>
      <xdr:row>54</xdr:row>
      <xdr:rowOff>1009650</xdr:rowOff>
    </xdr:to>
    <xdr:sp macro="" textlink="">
      <xdr:nvSpPr>
        <xdr:cNvPr id="8" name="Flèche droite 7">
          <a:extLst>
            <a:ext uri="{FF2B5EF4-FFF2-40B4-BE49-F238E27FC236}">
              <a16:creationId xmlns:a16="http://schemas.microsoft.com/office/drawing/2014/main" id="{00000000-0008-0000-0D00-000008000000}"/>
            </a:ext>
          </a:extLst>
        </xdr:cNvPr>
        <xdr:cNvSpPr/>
      </xdr:nvSpPr>
      <xdr:spPr>
        <a:xfrm>
          <a:off x="3556000" y="17445075"/>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88900</xdr:colOff>
      <xdr:row>58</xdr:row>
      <xdr:rowOff>6237</xdr:rowOff>
    </xdr:from>
    <xdr:to>
      <xdr:col>1</xdr:col>
      <xdr:colOff>1501775</xdr:colOff>
      <xdr:row>59</xdr:row>
      <xdr:rowOff>0</xdr:rowOff>
    </xdr:to>
    <xdr:sp macro="" textlink="">
      <xdr:nvSpPr>
        <xdr:cNvPr id="55" name="Text Box 12">
          <a:extLst>
            <a:ext uri="{FF2B5EF4-FFF2-40B4-BE49-F238E27FC236}">
              <a16:creationId xmlns:a16="http://schemas.microsoft.com/office/drawing/2014/main" id="{00000000-0008-0000-0D00-000037000000}"/>
            </a:ext>
          </a:extLst>
        </xdr:cNvPr>
        <xdr:cNvSpPr txBox="1">
          <a:spLocks noChangeArrowheads="1"/>
        </xdr:cNvSpPr>
      </xdr:nvSpPr>
      <xdr:spPr bwMode="auto">
        <a:xfrm>
          <a:off x="88900" y="19151487"/>
          <a:ext cx="3413125" cy="1822563"/>
        </a:xfrm>
        <a:prstGeom prst="rect">
          <a:avLst/>
        </a:prstGeom>
        <a:solidFill>
          <a:srgbClr val="CFCECE"/>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D</a:t>
          </a:r>
          <a:endParaRPr lang="fr-CA">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Développer et mobiliser sa culture informationnelle.</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1</xdr:col>
      <xdr:colOff>1574800</xdr:colOff>
      <xdr:row>58</xdr:row>
      <xdr:rowOff>558610</xdr:rowOff>
    </xdr:from>
    <xdr:to>
      <xdr:col>1</xdr:col>
      <xdr:colOff>1936864</xdr:colOff>
      <xdr:row>58</xdr:row>
      <xdr:rowOff>772885</xdr:rowOff>
    </xdr:to>
    <xdr:sp macro="" textlink="">
      <xdr:nvSpPr>
        <xdr:cNvPr id="11" name="Flèche droite 7">
          <a:extLst>
            <a:ext uri="{FF2B5EF4-FFF2-40B4-BE49-F238E27FC236}">
              <a16:creationId xmlns:a16="http://schemas.microsoft.com/office/drawing/2014/main" id="{00000000-0008-0000-0D00-00000B000000}"/>
            </a:ext>
          </a:extLst>
        </xdr:cNvPr>
        <xdr:cNvSpPr/>
      </xdr:nvSpPr>
      <xdr:spPr>
        <a:xfrm>
          <a:off x="3575050" y="1970386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88900</xdr:colOff>
      <xdr:row>62</xdr:row>
      <xdr:rowOff>6237</xdr:rowOff>
    </xdr:from>
    <xdr:to>
      <xdr:col>1</xdr:col>
      <xdr:colOff>1501775</xdr:colOff>
      <xdr:row>63</xdr:row>
      <xdr:rowOff>0</xdr:rowOff>
    </xdr:to>
    <xdr:sp macro="" textlink="">
      <xdr:nvSpPr>
        <xdr:cNvPr id="54" name="Text Box 12">
          <a:extLst>
            <a:ext uri="{FF2B5EF4-FFF2-40B4-BE49-F238E27FC236}">
              <a16:creationId xmlns:a16="http://schemas.microsoft.com/office/drawing/2014/main" id="{00000000-0008-0000-0D00-000036000000}"/>
            </a:ext>
          </a:extLst>
        </xdr:cNvPr>
        <xdr:cNvSpPr txBox="1">
          <a:spLocks noChangeArrowheads="1"/>
        </xdr:cNvSpPr>
      </xdr:nvSpPr>
      <xdr:spPr bwMode="auto">
        <a:xfrm>
          <a:off x="88900" y="21608937"/>
          <a:ext cx="3413125" cy="1708263"/>
        </a:xfrm>
        <a:prstGeom prst="rect">
          <a:avLst/>
        </a:prstGeom>
        <a:solidFill>
          <a:srgbClr val="CFCECE"/>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E</a:t>
          </a:r>
        </a:p>
        <a:p>
          <a:endParaRPr lang="fr-CA">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Collaborer à l’aide du numérique.</a:t>
          </a:r>
        </a:p>
        <a:p>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1</xdr:col>
      <xdr:colOff>1574800</xdr:colOff>
      <xdr:row>62</xdr:row>
      <xdr:rowOff>738225</xdr:rowOff>
    </xdr:from>
    <xdr:to>
      <xdr:col>1</xdr:col>
      <xdr:colOff>1936864</xdr:colOff>
      <xdr:row>62</xdr:row>
      <xdr:rowOff>952500</xdr:rowOff>
    </xdr:to>
    <xdr:sp macro="" textlink="">
      <xdr:nvSpPr>
        <xdr:cNvPr id="14" name="Flèche droite 7">
          <a:extLst>
            <a:ext uri="{FF2B5EF4-FFF2-40B4-BE49-F238E27FC236}">
              <a16:creationId xmlns:a16="http://schemas.microsoft.com/office/drawing/2014/main" id="{00000000-0008-0000-0D00-00000E000000}"/>
            </a:ext>
          </a:extLst>
        </xdr:cNvPr>
        <xdr:cNvSpPr/>
      </xdr:nvSpPr>
      <xdr:spPr>
        <a:xfrm>
          <a:off x="3575050" y="22340925"/>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88900</xdr:colOff>
      <xdr:row>67</xdr:row>
      <xdr:rowOff>6237</xdr:rowOff>
    </xdr:from>
    <xdr:to>
      <xdr:col>1</xdr:col>
      <xdr:colOff>1501775</xdr:colOff>
      <xdr:row>68</xdr:row>
      <xdr:rowOff>0</xdr:rowOff>
    </xdr:to>
    <xdr:sp macro="" textlink="">
      <xdr:nvSpPr>
        <xdr:cNvPr id="53" name="Text Box 12">
          <a:extLst>
            <a:ext uri="{FF2B5EF4-FFF2-40B4-BE49-F238E27FC236}">
              <a16:creationId xmlns:a16="http://schemas.microsoft.com/office/drawing/2014/main" id="{00000000-0008-0000-0D00-000035000000}"/>
            </a:ext>
          </a:extLst>
        </xdr:cNvPr>
        <xdr:cNvSpPr txBox="1">
          <a:spLocks noChangeArrowheads="1"/>
        </xdr:cNvSpPr>
      </xdr:nvSpPr>
      <xdr:spPr bwMode="auto">
        <a:xfrm>
          <a:off x="88900" y="24085437"/>
          <a:ext cx="3413125" cy="1727313"/>
        </a:xfrm>
        <a:prstGeom prst="rect">
          <a:avLst/>
        </a:prstGeom>
        <a:solidFill>
          <a:srgbClr val="CFCECE"/>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F</a:t>
          </a:r>
          <a:endParaRPr lang="fr-CA">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Communiquer à l’aide du numérique.</a:t>
          </a:r>
        </a:p>
        <a:p>
          <a:endParaRPr lang="fr-CA" sz="1100">
            <a:solidFill>
              <a:srgbClr val="000000"/>
            </a:solidFill>
            <a:effectLst/>
            <a:latin typeface="+mn-lt"/>
            <a:ea typeface="+mn-ea"/>
            <a:cs typeface="+mn-cs"/>
          </a:endParaRPr>
        </a:p>
      </xdr:txBody>
    </xdr:sp>
    <xdr:clientData fPrintsWithSheet="0"/>
  </xdr:twoCellAnchor>
  <xdr:twoCellAnchor>
    <xdr:from>
      <xdr:col>1</xdr:col>
      <xdr:colOff>1574800</xdr:colOff>
      <xdr:row>67</xdr:row>
      <xdr:rowOff>681075</xdr:rowOff>
    </xdr:from>
    <xdr:to>
      <xdr:col>1</xdr:col>
      <xdr:colOff>1936864</xdr:colOff>
      <xdr:row>67</xdr:row>
      <xdr:rowOff>895350</xdr:rowOff>
    </xdr:to>
    <xdr:sp macro="" textlink="">
      <xdr:nvSpPr>
        <xdr:cNvPr id="17" name="Flèche droite 7">
          <a:extLst>
            <a:ext uri="{FF2B5EF4-FFF2-40B4-BE49-F238E27FC236}">
              <a16:creationId xmlns:a16="http://schemas.microsoft.com/office/drawing/2014/main" id="{00000000-0008-0000-0D00-000011000000}"/>
            </a:ext>
          </a:extLst>
        </xdr:cNvPr>
        <xdr:cNvSpPr/>
      </xdr:nvSpPr>
      <xdr:spPr>
        <a:xfrm>
          <a:off x="3575050" y="24760275"/>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88900</xdr:colOff>
      <xdr:row>71</xdr:row>
      <xdr:rowOff>6237</xdr:rowOff>
    </xdr:from>
    <xdr:to>
      <xdr:col>1</xdr:col>
      <xdr:colOff>1501775</xdr:colOff>
      <xdr:row>72</xdr:row>
      <xdr:rowOff>0</xdr:rowOff>
    </xdr:to>
    <xdr:sp macro="" textlink="">
      <xdr:nvSpPr>
        <xdr:cNvPr id="52" name="Text Box 12">
          <a:extLst>
            <a:ext uri="{FF2B5EF4-FFF2-40B4-BE49-F238E27FC236}">
              <a16:creationId xmlns:a16="http://schemas.microsoft.com/office/drawing/2014/main" id="{00000000-0008-0000-0D00-000034000000}"/>
            </a:ext>
          </a:extLst>
        </xdr:cNvPr>
        <xdr:cNvSpPr txBox="1">
          <a:spLocks noChangeArrowheads="1"/>
        </xdr:cNvSpPr>
      </xdr:nvSpPr>
      <xdr:spPr bwMode="auto">
        <a:xfrm>
          <a:off x="88900" y="26466687"/>
          <a:ext cx="3413125" cy="1613013"/>
        </a:xfrm>
        <a:prstGeom prst="rect">
          <a:avLst/>
        </a:prstGeom>
        <a:solidFill>
          <a:srgbClr val="CFCECE"/>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G</a:t>
          </a:r>
          <a:endParaRPr lang="fr-CA">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Produire du contenu avec le numérique.</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1</xdr:col>
      <xdr:colOff>1593850</xdr:colOff>
      <xdr:row>71</xdr:row>
      <xdr:rowOff>642975</xdr:rowOff>
    </xdr:from>
    <xdr:to>
      <xdr:col>1</xdr:col>
      <xdr:colOff>1955914</xdr:colOff>
      <xdr:row>71</xdr:row>
      <xdr:rowOff>857250</xdr:rowOff>
    </xdr:to>
    <xdr:sp macro="" textlink="">
      <xdr:nvSpPr>
        <xdr:cNvPr id="20" name="Flèche droite 7">
          <a:extLst>
            <a:ext uri="{FF2B5EF4-FFF2-40B4-BE49-F238E27FC236}">
              <a16:creationId xmlns:a16="http://schemas.microsoft.com/office/drawing/2014/main" id="{00000000-0008-0000-0D00-000014000000}"/>
            </a:ext>
          </a:extLst>
        </xdr:cNvPr>
        <xdr:cNvSpPr/>
      </xdr:nvSpPr>
      <xdr:spPr>
        <a:xfrm>
          <a:off x="3594100" y="27103425"/>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88900</xdr:colOff>
      <xdr:row>75</xdr:row>
      <xdr:rowOff>101600</xdr:rowOff>
    </xdr:from>
    <xdr:to>
      <xdr:col>1</xdr:col>
      <xdr:colOff>1501775</xdr:colOff>
      <xdr:row>75</xdr:row>
      <xdr:rowOff>1720963</xdr:rowOff>
    </xdr:to>
    <xdr:sp macro="" textlink="">
      <xdr:nvSpPr>
        <xdr:cNvPr id="51" name="Text Box 12">
          <a:extLst>
            <a:ext uri="{FF2B5EF4-FFF2-40B4-BE49-F238E27FC236}">
              <a16:creationId xmlns:a16="http://schemas.microsoft.com/office/drawing/2014/main" id="{00000000-0008-0000-0D00-000033000000}"/>
            </a:ext>
          </a:extLst>
        </xdr:cNvPr>
        <xdr:cNvSpPr txBox="1">
          <a:spLocks noChangeArrowheads="1"/>
        </xdr:cNvSpPr>
      </xdr:nvSpPr>
      <xdr:spPr bwMode="auto">
        <a:xfrm>
          <a:off x="88900" y="28848050"/>
          <a:ext cx="3413125" cy="1619363"/>
        </a:xfrm>
        <a:prstGeom prst="rect">
          <a:avLst/>
        </a:prstGeom>
        <a:solidFill>
          <a:srgbClr val="CFCECE"/>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H</a:t>
          </a:r>
          <a:endParaRPr lang="fr-CA">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Mettre à profit le numérique en tant que vecteur d’inclusion et pour répondre à des besoins diversifiés.</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88900</xdr:colOff>
      <xdr:row>83</xdr:row>
      <xdr:rowOff>76200</xdr:rowOff>
    </xdr:from>
    <xdr:to>
      <xdr:col>1</xdr:col>
      <xdr:colOff>1501775</xdr:colOff>
      <xdr:row>84</xdr:row>
      <xdr:rowOff>57150</xdr:rowOff>
    </xdr:to>
    <xdr:sp macro="" textlink="">
      <xdr:nvSpPr>
        <xdr:cNvPr id="49" name="Text Box 12">
          <a:extLst>
            <a:ext uri="{FF2B5EF4-FFF2-40B4-BE49-F238E27FC236}">
              <a16:creationId xmlns:a16="http://schemas.microsoft.com/office/drawing/2014/main" id="{00000000-0008-0000-0D00-000031000000}"/>
            </a:ext>
          </a:extLst>
        </xdr:cNvPr>
        <xdr:cNvSpPr txBox="1">
          <a:spLocks noChangeArrowheads="1"/>
        </xdr:cNvSpPr>
      </xdr:nvSpPr>
      <xdr:spPr bwMode="auto">
        <a:xfrm>
          <a:off x="88900" y="33832800"/>
          <a:ext cx="3413125" cy="1733550"/>
        </a:xfrm>
        <a:prstGeom prst="rect">
          <a:avLst/>
        </a:prstGeom>
        <a:solidFill>
          <a:srgbClr val="CFCECE"/>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J</a:t>
          </a:r>
          <a:endParaRPr lang="fr-CA">
            <a:solidFill>
              <a:srgbClr val="000000"/>
            </a:solidFill>
            <a:effectLst/>
          </a:endParaRPr>
        </a:p>
        <a:p>
          <a:endParaRPr lang="fr-CA" sz="1100">
            <a:solidFill>
              <a:srgbClr val="000000"/>
            </a:solidFill>
            <a:effectLst/>
            <a:latin typeface="+mn-lt"/>
            <a:ea typeface="+mn-ea"/>
            <a:cs typeface="+mn-cs"/>
          </a:endParaRPr>
        </a:p>
        <a:p>
          <a:r>
            <a:rPr lang="fr-CA" sz="1100">
              <a:solidFill>
                <a:srgbClr val="000000"/>
              </a:solidFill>
              <a:effectLst/>
              <a:latin typeface="+mn-lt"/>
              <a:ea typeface="+mn-ea"/>
              <a:cs typeface="+mn-cs"/>
            </a:rPr>
            <a:t>Résoudre une variété de problèmes avec le numérique.</a:t>
          </a:r>
          <a:r>
            <a:rPr lang="fr-CA">
              <a:solidFill>
                <a:srgbClr val="000000"/>
              </a:solidFill>
              <a:effectLst/>
            </a:rPr>
            <a:t> </a:t>
          </a:r>
          <a:endParaRPr lang="fr-CA" sz="1100">
            <a:solidFill>
              <a:srgbClr val="000000"/>
            </a:solidFill>
            <a:effectLst/>
            <a:latin typeface="+mn-lt"/>
            <a:ea typeface="+mn-ea"/>
            <a:cs typeface="+mn-cs"/>
          </a:endParaRPr>
        </a:p>
      </xdr:txBody>
    </xdr:sp>
    <xdr:clientData fPrintsWithSheet="0"/>
  </xdr:twoCellAnchor>
  <xdr:twoCellAnchor>
    <xdr:from>
      <xdr:col>0</xdr:col>
      <xdr:colOff>88900</xdr:colOff>
      <xdr:row>79</xdr:row>
      <xdr:rowOff>139700</xdr:rowOff>
    </xdr:from>
    <xdr:to>
      <xdr:col>1</xdr:col>
      <xdr:colOff>1501775</xdr:colOff>
      <xdr:row>79</xdr:row>
      <xdr:rowOff>1759063</xdr:rowOff>
    </xdr:to>
    <xdr:sp macro="" textlink="">
      <xdr:nvSpPr>
        <xdr:cNvPr id="50" name="Text Box 12">
          <a:extLst>
            <a:ext uri="{FF2B5EF4-FFF2-40B4-BE49-F238E27FC236}">
              <a16:creationId xmlns:a16="http://schemas.microsoft.com/office/drawing/2014/main" id="{00000000-0008-0000-0D00-000032000000}"/>
            </a:ext>
          </a:extLst>
        </xdr:cNvPr>
        <xdr:cNvSpPr txBox="1">
          <a:spLocks noChangeArrowheads="1"/>
        </xdr:cNvSpPr>
      </xdr:nvSpPr>
      <xdr:spPr bwMode="auto">
        <a:xfrm>
          <a:off x="88900" y="31419800"/>
          <a:ext cx="3413125" cy="1619363"/>
        </a:xfrm>
        <a:prstGeom prst="rect">
          <a:avLst/>
        </a:prstGeom>
        <a:solidFill>
          <a:srgbClr val="CFCECE"/>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I</a:t>
          </a:r>
          <a:endParaRPr lang="fr-CA">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Adopter une perspective de développement personnel et professionnel avec le numérique dans une posture d’autonomisation.</a:t>
          </a:r>
        </a:p>
        <a:p>
          <a:endParaRPr lang="fr-CA" sz="1100">
            <a:solidFill>
              <a:srgbClr val="000000"/>
            </a:solidFill>
            <a:effectLst/>
            <a:latin typeface="+mn-lt"/>
            <a:ea typeface="+mn-ea"/>
            <a:cs typeface="+mn-cs"/>
          </a:endParaRPr>
        </a:p>
      </xdr:txBody>
    </xdr:sp>
    <xdr:clientData fPrintsWithSheet="0"/>
  </xdr:twoCellAnchor>
  <xdr:twoCellAnchor>
    <xdr:from>
      <xdr:col>0</xdr:col>
      <xdr:colOff>88900</xdr:colOff>
      <xdr:row>87</xdr:row>
      <xdr:rowOff>101600</xdr:rowOff>
    </xdr:from>
    <xdr:to>
      <xdr:col>1</xdr:col>
      <xdr:colOff>1501775</xdr:colOff>
      <xdr:row>87</xdr:row>
      <xdr:rowOff>1720963</xdr:rowOff>
    </xdr:to>
    <xdr:sp macro="" textlink="">
      <xdr:nvSpPr>
        <xdr:cNvPr id="48" name="Text Box 12">
          <a:extLst>
            <a:ext uri="{FF2B5EF4-FFF2-40B4-BE49-F238E27FC236}">
              <a16:creationId xmlns:a16="http://schemas.microsoft.com/office/drawing/2014/main" id="{00000000-0008-0000-0D00-000030000000}"/>
            </a:ext>
          </a:extLst>
        </xdr:cNvPr>
        <xdr:cNvSpPr txBox="1">
          <a:spLocks noChangeArrowheads="1"/>
        </xdr:cNvSpPr>
      </xdr:nvSpPr>
      <xdr:spPr bwMode="auto">
        <a:xfrm>
          <a:off x="88900" y="36163250"/>
          <a:ext cx="3413125" cy="1619363"/>
        </a:xfrm>
        <a:prstGeom prst="rect">
          <a:avLst/>
        </a:prstGeom>
        <a:solidFill>
          <a:srgbClr val="CFCECE"/>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K</a:t>
          </a:r>
          <a:endParaRPr lang="fr-CA">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Développer sa pensée critique à l’égard du numérique.</a:t>
          </a:r>
        </a:p>
        <a:p>
          <a:endParaRPr lang="fr-CA" sz="1100">
            <a:solidFill>
              <a:srgbClr val="000000"/>
            </a:solidFill>
            <a:effectLst/>
            <a:latin typeface="+mn-lt"/>
            <a:ea typeface="+mn-ea"/>
            <a:cs typeface="+mn-cs"/>
          </a:endParaRPr>
        </a:p>
      </xdr:txBody>
    </xdr:sp>
    <xdr:clientData fPrintsWithSheet="0"/>
  </xdr:twoCellAnchor>
  <xdr:twoCellAnchor>
    <xdr:from>
      <xdr:col>0</xdr:col>
      <xdr:colOff>88900</xdr:colOff>
      <xdr:row>91</xdr:row>
      <xdr:rowOff>25400</xdr:rowOff>
    </xdr:from>
    <xdr:to>
      <xdr:col>1</xdr:col>
      <xdr:colOff>1501775</xdr:colOff>
      <xdr:row>91</xdr:row>
      <xdr:rowOff>1644763</xdr:rowOff>
    </xdr:to>
    <xdr:sp macro="" textlink="">
      <xdr:nvSpPr>
        <xdr:cNvPr id="4" name="Text Box 12">
          <a:extLst>
            <a:ext uri="{FF2B5EF4-FFF2-40B4-BE49-F238E27FC236}">
              <a16:creationId xmlns:a16="http://schemas.microsoft.com/office/drawing/2014/main" id="{00000000-0008-0000-0D00-000004000000}"/>
            </a:ext>
          </a:extLst>
        </xdr:cNvPr>
        <xdr:cNvSpPr txBox="1">
          <a:spLocks noChangeArrowheads="1"/>
        </xdr:cNvSpPr>
      </xdr:nvSpPr>
      <xdr:spPr bwMode="auto">
        <a:xfrm>
          <a:off x="88900" y="38639750"/>
          <a:ext cx="3413125" cy="1619363"/>
        </a:xfrm>
        <a:prstGeom prst="rect">
          <a:avLst/>
        </a:prstGeom>
        <a:solidFill>
          <a:srgbClr val="CFCECE"/>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L</a:t>
          </a:r>
          <a:endParaRPr lang="fr-CA">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Innover et faire preuve de créativité avec le numérique.</a:t>
          </a:r>
        </a:p>
        <a:p>
          <a:endParaRPr lang="fr-CA" sz="1100">
            <a:solidFill>
              <a:srgbClr val="000000"/>
            </a:solidFill>
            <a:effectLst/>
            <a:latin typeface="+mn-lt"/>
            <a:ea typeface="+mn-ea"/>
            <a:cs typeface="+mn-cs"/>
          </a:endParaRPr>
        </a:p>
      </xdr:txBody>
    </xdr:sp>
    <xdr:clientData fPrintsWithSheet="0"/>
  </xdr:twoCellAnchor>
  <xdr:twoCellAnchor>
    <xdr:from>
      <xdr:col>1</xdr:col>
      <xdr:colOff>1574800</xdr:colOff>
      <xdr:row>75</xdr:row>
      <xdr:rowOff>723900</xdr:rowOff>
    </xdr:from>
    <xdr:to>
      <xdr:col>1</xdr:col>
      <xdr:colOff>1936864</xdr:colOff>
      <xdr:row>75</xdr:row>
      <xdr:rowOff>938175</xdr:rowOff>
    </xdr:to>
    <xdr:sp macro="" textlink="">
      <xdr:nvSpPr>
        <xdr:cNvPr id="22" name="Flèche droite 7">
          <a:extLst>
            <a:ext uri="{FF2B5EF4-FFF2-40B4-BE49-F238E27FC236}">
              <a16:creationId xmlns:a16="http://schemas.microsoft.com/office/drawing/2014/main" id="{00000000-0008-0000-0D00-000016000000}"/>
            </a:ext>
          </a:extLst>
        </xdr:cNvPr>
        <xdr:cNvSpPr/>
      </xdr:nvSpPr>
      <xdr:spPr>
        <a:xfrm>
          <a:off x="3575050" y="2947035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1574800</xdr:colOff>
      <xdr:row>79</xdr:row>
      <xdr:rowOff>787400</xdr:rowOff>
    </xdr:from>
    <xdr:to>
      <xdr:col>1</xdr:col>
      <xdr:colOff>1936864</xdr:colOff>
      <xdr:row>79</xdr:row>
      <xdr:rowOff>1001675</xdr:rowOff>
    </xdr:to>
    <xdr:sp macro="" textlink="">
      <xdr:nvSpPr>
        <xdr:cNvPr id="23" name="Flèche droite 7">
          <a:extLst>
            <a:ext uri="{FF2B5EF4-FFF2-40B4-BE49-F238E27FC236}">
              <a16:creationId xmlns:a16="http://schemas.microsoft.com/office/drawing/2014/main" id="{00000000-0008-0000-0D00-000017000000}"/>
            </a:ext>
          </a:extLst>
        </xdr:cNvPr>
        <xdr:cNvSpPr/>
      </xdr:nvSpPr>
      <xdr:spPr>
        <a:xfrm>
          <a:off x="3575050" y="3206750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1574800</xdr:colOff>
      <xdr:row>83</xdr:row>
      <xdr:rowOff>527050</xdr:rowOff>
    </xdr:from>
    <xdr:to>
      <xdr:col>1</xdr:col>
      <xdr:colOff>1936864</xdr:colOff>
      <xdr:row>83</xdr:row>
      <xdr:rowOff>741325</xdr:rowOff>
    </xdr:to>
    <xdr:sp macro="" textlink="">
      <xdr:nvSpPr>
        <xdr:cNvPr id="27" name="Flèche droite 7">
          <a:extLst>
            <a:ext uri="{FF2B5EF4-FFF2-40B4-BE49-F238E27FC236}">
              <a16:creationId xmlns:a16="http://schemas.microsoft.com/office/drawing/2014/main" id="{00000000-0008-0000-0D00-00001B000000}"/>
            </a:ext>
          </a:extLst>
        </xdr:cNvPr>
        <xdr:cNvSpPr/>
      </xdr:nvSpPr>
      <xdr:spPr>
        <a:xfrm>
          <a:off x="3575050" y="3428365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1574800</xdr:colOff>
      <xdr:row>87</xdr:row>
      <xdr:rowOff>730250</xdr:rowOff>
    </xdr:from>
    <xdr:to>
      <xdr:col>1</xdr:col>
      <xdr:colOff>1936864</xdr:colOff>
      <xdr:row>87</xdr:row>
      <xdr:rowOff>944525</xdr:rowOff>
    </xdr:to>
    <xdr:sp macro="" textlink="">
      <xdr:nvSpPr>
        <xdr:cNvPr id="30" name="Flèche droite 7">
          <a:extLst>
            <a:ext uri="{FF2B5EF4-FFF2-40B4-BE49-F238E27FC236}">
              <a16:creationId xmlns:a16="http://schemas.microsoft.com/office/drawing/2014/main" id="{00000000-0008-0000-0D00-00001E000000}"/>
            </a:ext>
          </a:extLst>
        </xdr:cNvPr>
        <xdr:cNvSpPr/>
      </xdr:nvSpPr>
      <xdr:spPr>
        <a:xfrm>
          <a:off x="3575050" y="3679190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1574800</xdr:colOff>
      <xdr:row>91</xdr:row>
      <xdr:rowOff>673100</xdr:rowOff>
    </xdr:from>
    <xdr:to>
      <xdr:col>1</xdr:col>
      <xdr:colOff>1936864</xdr:colOff>
      <xdr:row>91</xdr:row>
      <xdr:rowOff>887375</xdr:rowOff>
    </xdr:to>
    <xdr:sp macro="" textlink="">
      <xdr:nvSpPr>
        <xdr:cNvPr id="31" name="Flèche droite 7">
          <a:extLst>
            <a:ext uri="{FF2B5EF4-FFF2-40B4-BE49-F238E27FC236}">
              <a16:creationId xmlns:a16="http://schemas.microsoft.com/office/drawing/2014/main" id="{00000000-0008-0000-0D00-00001F000000}"/>
            </a:ext>
          </a:extLst>
        </xdr:cNvPr>
        <xdr:cNvSpPr/>
      </xdr:nvSpPr>
      <xdr:spPr>
        <a:xfrm>
          <a:off x="3575050" y="3928745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800100</xdr:colOff>
      <xdr:row>46</xdr:row>
      <xdr:rowOff>819150</xdr:rowOff>
    </xdr:from>
    <xdr:to>
      <xdr:col>7</xdr:col>
      <xdr:colOff>1162164</xdr:colOff>
      <xdr:row>46</xdr:row>
      <xdr:rowOff>1033425</xdr:rowOff>
    </xdr:to>
    <xdr:sp macro="" textlink="">
      <xdr:nvSpPr>
        <xdr:cNvPr id="41" name="Flèche droite 7">
          <a:extLst>
            <a:ext uri="{FF2B5EF4-FFF2-40B4-BE49-F238E27FC236}">
              <a16:creationId xmlns:a16="http://schemas.microsoft.com/office/drawing/2014/main" id="{00000000-0008-0000-0D00-000029000000}"/>
            </a:ext>
          </a:extLst>
        </xdr:cNvPr>
        <xdr:cNvSpPr/>
      </xdr:nvSpPr>
      <xdr:spPr>
        <a:xfrm>
          <a:off x="11258550" y="1251585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800100</xdr:colOff>
      <xdr:row>50</xdr:row>
      <xdr:rowOff>1098550</xdr:rowOff>
    </xdr:from>
    <xdr:to>
      <xdr:col>7</xdr:col>
      <xdr:colOff>1162164</xdr:colOff>
      <xdr:row>50</xdr:row>
      <xdr:rowOff>1312825</xdr:rowOff>
    </xdr:to>
    <xdr:sp macro="" textlink="">
      <xdr:nvSpPr>
        <xdr:cNvPr id="42" name="Flèche droite 7">
          <a:extLst>
            <a:ext uri="{FF2B5EF4-FFF2-40B4-BE49-F238E27FC236}">
              <a16:creationId xmlns:a16="http://schemas.microsoft.com/office/drawing/2014/main" id="{00000000-0008-0000-0D00-00002A000000}"/>
            </a:ext>
          </a:extLst>
        </xdr:cNvPr>
        <xdr:cNvSpPr/>
      </xdr:nvSpPr>
      <xdr:spPr>
        <a:xfrm>
          <a:off x="11258550" y="1523365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781050</xdr:colOff>
      <xdr:row>54</xdr:row>
      <xdr:rowOff>812800</xdr:rowOff>
    </xdr:from>
    <xdr:to>
      <xdr:col>7</xdr:col>
      <xdr:colOff>1143114</xdr:colOff>
      <xdr:row>54</xdr:row>
      <xdr:rowOff>1027075</xdr:rowOff>
    </xdr:to>
    <xdr:sp macro="" textlink="">
      <xdr:nvSpPr>
        <xdr:cNvPr id="43" name="Flèche droite 7">
          <a:extLst>
            <a:ext uri="{FF2B5EF4-FFF2-40B4-BE49-F238E27FC236}">
              <a16:creationId xmlns:a16="http://schemas.microsoft.com/office/drawing/2014/main" id="{00000000-0008-0000-0D00-00002B000000}"/>
            </a:ext>
          </a:extLst>
        </xdr:cNvPr>
        <xdr:cNvSpPr/>
      </xdr:nvSpPr>
      <xdr:spPr>
        <a:xfrm>
          <a:off x="11239500" y="1746250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800100</xdr:colOff>
      <xdr:row>58</xdr:row>
      <xdr:rowOff>576035</xdr:rowOff>
    </xdr:from>
    <xdr:to>
      <xdr:col>7</xdr:col>
      <xdr:colOff>1162164</xdr:colOff>
      <xdr:row>58</xdr:row>
      <xdr:rowOff>790310</xdr:rowOff>
    </xdr:to>
    <xdr:sp macro="" textlink="">
      <xdr:nvSpPr>
        <xdr:cNvPr id="44" name="Flèche droite 7">
          <a:extLst>
            <a:ext uri="{FF2B5EF4-FFF2-40B4-BE49-F238E27FC236}">
              <a16:creationId xmlns:a16="http://schemas.microsoft.com/office/drawing/2014/main" id="{00000000-0008-0000-0D00-00002C000000}"/>
            </a:ext>
          </a:extLst>
        </xdr:cNvPr>
        <xdr:cNvSpPr/>
      </xdr:nvSpPr>
      <xdr:spPr>
        <a:xfrm>
          <a:off x="11258550" y="19721285"/>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857250</xdr:colOff>
      <xdr:row>62</xdr:row>
      <xdr:rowOff>660400</xdr:rowOff>
    </xdr:from>
    <xdr:to>
      <xdr:col>7</xdr:col>
      <xdr:colOff>1219314</xdr:colOff>
      <xdr:row>62</xdr:row>
      <xdr:rowOff>874675</xdr:rowOff>
    </xdr:to>
    <xdr:sp macro="" textlink="">
      <xdr:nvSpPr>
        <xdr:cNvPr id="45" name="Flèche droite 7">
          <a:extLst>
            <a:ext uri="{FF2B5EF4-FFF2-40B4-BE49-F238E27FC236}">
              <a16:creationId xmlns:a16="http://schemas.microsoft.com/office/drawing/2014/main" id="{00000000-0008-0000-0D00-00002D000000}"/>
            </a:ext>
          </a:extLst>
        </xdr:cNvPr>
        <xdr:cNvSpPr/>
      </xdr:nvSpPr>
      <xdr:spPr>
        <a:xfrm>
          <a:off x="11315700" y="2226310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781050</xdr:colOff>
      <xdr:row>67</xdr:row>
      <xdr:rowOff>622300</xdr:rowOff>
    </xdr:from>
    <xdr:to>
      <xdr:col>7</xdr:col>
      <xdr:colOff>1143114</xdr:colOff>
      <xdr:row>67</xdr:row>
      <xdr:rowOff>836575</xdr:rowOff>
    </xdr:to>
    <xdr:sp macro="" textlink="">
      <xdr:nvSpPr>
        <xdr:cNvPr id="46" name="Flèche droite 7">
          <a:extLst>
            <a:ext uri="{FF2B5EF4-FFF2-40B4-BE49-F238E27FC236}">
              <a16:creationId xmlns:a16="http://schemas.microsoft.com/office/drawing/2014/main" id="{00000000-0008-0000-0D00-00002E000000}"/>
            </a:ext>
          </a:extLst>
        </xdr:cNvPr>
        <xdr:cNvSpPr/>
      </xdr:nvSpPr>
      <xdr:spPr>
        <a:xfrm>
          <a:off x="11239500" y="2470150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819150</xdr:colOff>
      <xdr:row>71</xdr:row>
      <xdr:rowOff>641350</xdr:rowOff>
    </xdr:from>
    <xdr:to>
      <xdr:col>7</xdr:col>
      <xdr:colOff>1181214</xdr:colOff>
      <xdr:row>71</xdr:row>
      <xdr:rowOff>855625</xdr:rowOff>
    </xdr:to>
    <xdr:sp macro="" textlink="">
      <xdr:nvSpPr>
        <xdr:cNvPr id="47" name="Flèche droite 7">
          <a:extLst>
            <a:ext uri="{FF2B5EF4-FFF2-40B4-BE49-F238E27FC236}">
              <a16:creationId xmlns:a16="http://schemas.microsoft.com/office/drawing/2014/main" id="{00000000-0008-0000-0D00-00002F000000}"/>
            </a:ext>
          </a:extLst>
        </xdr:cNvPr>
        <xdr:cNvSpPr/>
      </xdr:nvSpPr>
      <xdr:spPr>
        <a:xfrm>
          <a:off x="11277600" y="2710180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819150</xdr:colOff>
      <xdr:row>75</xdr:row>
      <xdr:rowOff>474625</xdr:rowOff>
    </xdr:from>
    <xdr:to>
      <xdr:col>7</xdr:col>
      <xdr:colOff>1181214</xdr:colOff>
      <xdr:row>75</xdr:row>
      <xdr:rowOff>688900</xdr:rowOff>
    </xdr:to>
    <xdr:sp macro="" textlink="">
      <xdr:nvSpPr>
        <xdr:cNvPr id="59" name="Flèche droite 7">
          <a:extLst>
            <a:ext uri="{FF2B5EF4-FFF2-40B4-BE49-F238E27FC236}">
              <a16:creationId xmlns:a16="http://schemas.microsoft.com/office/drawing/2014/main" id="{00000000-0008-0000-0D00-00003B000000}"/>
            </a:ext>
          </a:extLst>
        </xdr:cNvPr>
        <xdr:cNvSpPr/>
      </xdr:nvSpPr>
      <xdr:spPr>
        <a:xfrm>
          <a:off x="11277600" y="29221075"/>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800100</xdr:colOff>
      <xdr:row>79</xdr:row>
      <xdr:rowOff>804825</xdr:rowOff>
    </xdr:from>
    <xdr:to>
      <xdr:col>7</xdr:col>
      <xdr:colOff>1162164</xdr:colOff>
      <xdr:row>79</xdr:row>
      <xdr:rowOff>1019100</xdr:rowOff>
    </xdr:to>
    <xdr:sp macro="" textlink="">
      <xdr:nvSpPr>
        <xdr:cNvPr id="60" name="Flèche droite 7">
          <a:extLst>
            <a:ext uri="{FF2B5EF4-FFF2-40B4-BE49-F238E27FC236}">
              <a16:creationId xmlns:a16="http://schemas.microsoft.com/office/drawing/2014/main" id="{00000000-0008-0000-0D00-00003C000000}"/>
            </a:ext>
          </a:extLst>
        </xdr:cNvPr>
        <xdr:cNvSpPr/>
      </xdr:nvSpPr>
      <xdr:spPr>
        <a:xfrm>
          <a:off x="11258550" y="32084925"/>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800100</xdr:colOff>
      <xdr:row>83</xdr:row>
      <xdr:rowOff>544475</xdr:rowOff>
    </xdr:from>
    <xdr:to>
      <xdr:col>7</xdr:col>
      <xdr:colOff>1162164</xdr:colOff>
      <xdr:row>83</xdr:row>
      <xdr:rowOff>758750</xdr:rowOff>
    </xdr:to>
    <xdr:sp macro="" textlink="">
      <xdr:nvSpPr>
        <xdr:cNvPr id="61" name="Flèche droite 7">
          <a:extLst>
            <a:ext uri="{FF2B5EF4-FFF2-40B4-BE49-F238E27FC236}">
              <a16:creationId xmlns:a16="http://schemas.microsoft.com/office/drawing/2014/main" id="{00000000-0008-0000-0D00-00003D000000}"/>
            </a:ext>
          </a:extLst>
        </xdr:cNvPr>
        <xdr:cNvSpPr/>
      </xdr:nvSpPr>
      <xdr:spPr>
        <a:xfrm>
          <a:off x="11258550" y="34301075"/>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742950</xdr:colOff>
      <xdr:row>87</xdr:row>
      <xdr:rowOff>595275</xdr:rowOff>
    </xdr:from>
    <xdr:to>
      <xdr:col>7</xdr:col>
      <xdr:colOff>1105014</xdr:colOff>
      <xdr:row>87</xdr:row>
      <xdr:rowOff>809550</xdr:rowOff>
    </xdr:to>
    <xdr:sp macro="" textlink="">
      <xdr:nvSpPr>
        <xdr:cNvPr id="62" name="Flèche droite 7">
          <a:extLst>
            <a:ext uri="{FF2B5EF4-FFF2-40B4-BE49-F238E27FC236}">
              <a16:creationId xmlns:a16="http://schemas.microsoft.com/office/drawing/2014/main" id="{00000000-0008-0000-0D00-00003E000000}"/>
            </a:ext>
          </a:extLst>
        </xdr:cNvPr>
        <xdr:cNvSpPr/>
      </xdr:nvSpPr>
      <xdr:spPr>
        <a:xfrm>
          <a:off x="11201400" y="36656925"/>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742950</xdr:colOff>
      <xdr:row>91</xdr:row>
      <xdr:rowOff>538125</xdr:rowOff>
    </xdr:from>
    <xdr:to>
      <xdr:col>7</xdr:col>
      <xdr:colOff>1105014</xdr:colOff>
      <xdr:row>91</xdr:row>
      <xdr:rowOff>752400</xdr:rowOff>
    </xdr:to>
    <xdr:sp macro="" textlink="">
      <xdr:nvSpPr>
        <xdr:cNvPr id="63" name="Flèche droite 7">
          <a:extLst>
            <a:ext uri="{FF2B5EF4-FFF2-40B4-BE49-F238E27FC236}">
              <a16:creationId xmlns:a16="http://schemas.microsoft.com/office/drawing/2014/main" id="{00000000-0008-0000-0D00-00003F000000}"/>
            </a:ext>
          </a:extLst>
        </xdr:cNvPr>
        <xdr:cNvSpPr/>
      </xdr:nvSpPr>
      <xdr:spPr>
        <a:xfrm>
          <a:off x="11201400" y="39152475"/>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0</xdr:colOff>
      <xdr:row>103</xdr:row>
      <xdr:rowOff>1</xdr:rowOff>
    </xdr:from>
    <xdr:to>
      <xdr:col>2</xdr:col>
      <xdr:colOff>0</xdr:colOff>
      <xdr:row>105</xdr:row>
      <xdr:rowOff>175259</xdr:rowOff>
    </xdr:to>
    <xdr:sp macro="" textlink="">
      <xdr:nvSpPr>
        <xdr:cNvPr id="12" name="Rectangle : coins arrondis 11" descr="Retour à la Présentation">
          <a:hlinkClick xmlns:r="http://schemas.openxmlformats.org/officeDocument/2006/relationships" r:id="rId4"/>
          <a:extLst>
            <a:ext uri="{FF2B5EF4-FFF2-40B4-BE49-F238E27FC236}">
              <a16:creationId xmlns:a16="http://schemas.microsoft.com/office/drawing/2014/main" id="{00000000-0008-0000-0D00-00000C000000}"/>
            </a:ext>
          </a:extLst>
        </xdr:cNvPr>
        <xdr:cNvSpPr/>
      </xdr:nvSpPr>
      <xdr:spPr>
        <a:xfrm>
          <a:off x="2034540" y="42351961"/>
          <a:ext cx="2110740" cy="525778"/>
        </a:xfrm>
        <a:prstGeom prst="roundRect">
          <a:avLst/>
        </a:prstGeom>
        <a:solidFill>
          <a:srgbClr val="74B4B9"/>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Retour à la Présentation</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0</xdr:col>
      <xdr:colOff>76200</xdr:colOff>
      <xdr:row>0</xdr:row>
      <xdr:rowOff>38100</xdr:rowOff>
    </xdr:from>
    <xdr:ext cx="1358900" cy="736600"/>
    <xdr:pic>
      <xdr:nvPicPr>
        <xdr:cNvPr id="2" name="logo_teluq_nb.eps" descr="Logo de l'Université TÉLUQ.">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38100"/>
          <a:ext cx="1358900" cy="736600"/>
        </a:xfrm>
        <a:prstGeom prst="rect">
          <a:avLst/>
        </a:prstGeom>
      </xdr:spPr>
    </xdr:pic>
    <xdr:clientData/>
  </xdr:oneCellAnchor>
  <xdr:twoCellAnchor>
    <xdr:from>
      <xdr:col>0</xdr:col>
      <xdr:colOff>0</xdr:colOff>
      <xdr:row>3</xdr:row>
      <xdr:rowOff>138546</xdr:rowOff>
    </xdr:from>
    <xdr:to>
      <xdr:col>9</xdr:col>
      <xdr:colOff>265544</xdr:colOff>
      <xdr:row>11</xdr:row>
      <xdr:rowOff>56573</xdr:rowOff>
    </xdr:to>
    <xdr:sp macro="" textlink="">
      <xdr:nvSpPr>
        <xdr:cNvPr id="3" name="Text Box 12">
          <a:extLst>
            <a:ext uri="{FF2B5EF4-FFF2-40B4-BE49-F238E27FC236}">
              <a16:creationId xmlns:a16="http://schemas.microsoft.com/office/drawing/2014/main" id="{00000000-0008-0000-0E00-000003000000}"/>
            </a:ext>
          </a:extLst>
        </xdr:cNvPr>
        <xdr:cNvSpPr txBox="1">
          <a:spLocks noChangeArrowheads="1"/>
        </xdr:cNvSpPr>
      </xdr:nvSpPr>
      <xdr:spPr bwMode="auto">
        <a:xfrm>
          <a:off x="0" y="946728"/>
          <a:ext cx="17537544" cy="1326572"/>
        </a:xfrm>
        <a:prstGeom prst="rect">
          <a:avLst/>
        </a:prstGeom>
        <a:solidFill>
          <a:srgbClr val="CFCECE"/>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a:r>
            <a:rPr lang="en-US" sz="1800" b="1" i="0" u="none" strike="noStrike" cap="all" baseline="0">
              <a:solidFill>
                <a:srgbClr val="000000"/>
              </a:solidFill>
              <a:effectLst/>
              <a:latin typeface="+mn-lt"/>
              <a:ea typeface="+mn-ea"/>
              <a:cs typeface="Arial"/>
            </a:rPr>
            <a:t>Deux compétences transversales</a:t>
          </a:r>
        </a:p>
        <a:p>
          <a:pPr algn="l"/>
          <a:r>
            <a:rPr lang="en-US" sz="1400" b="1" i="0" u="none" strike="noStrike" baseline="0">
              <a:solidFill>
                <a:srgbClr val="000000"/>
              </a:solidFill>
              <a:effectLst/>
              <a:latin typeface="Arial"/>
              <a:ea typeface="+mn-ea"/>
              <a:cs typeface="Arial"/>
            </a:rPr>
            <a:t>Compétence 13 : </a:t>
          </a:r>
          <a:r>
            <a:rPr lang="fr-CA" sz="1400" b="1">
              <a:solidFill>
                <a:srgbClr val="000000"/>
              </a:solidFill>
              <a:effectLst/>
              <a:latin typeface="+mn-lt"/>
              <a:ea typeface="+mn-ea"/>
              <a:cs typeface="+mn-cs"/>
            </a:rPr>
            <a:t>Agir en accord avec les principes éthiques de la profession</a:t>
          </a:r>
        </a:p>
        <a:p>
          <a:pPr algn="l"/>
          <a:r>
            <a:rPr lang="fr-CA" sz="1400" i="1">
              <a:solidFill>
                <a:srgbClr val="000000"/>
              </a:solidFill>
              <a:effectLst/>
              <a:latin typeface="+mn-lt"/>
              <a:ea typeface="+mn-ea"/>
              <a:cs typeface="+mn-cs"/>
            </a:rPr>
            <a:t>Adopter et valoriser des comportements éthiques et responsables afin d’établir des liens empreints</a:t>
          </a:r>
          <a:r>
            <a:rPr lang="fr-CA" sz="1400" i="1" baseline="0">
              <a:solidFill>
                <a:srgbClr val="000000"/>
              </a:solidFill>
              <a:effectLst/>
              <a:latin typeface="+mn-lt"/>
              <a:ea typeface="+mn-ea"/>
              <a:cs typeface="+mn-cs"/>
            </a:rPr>
            <a:t> </a:t>
          </a:r>
          <a:r>
            <a:rPr lang="fr-CA" sz="1400" i="1">
              <a:solidFill>
                <a:srgbClr val="000000"/>
              </a:solidFill>
              <a:effectLst/>
              <a:latin typeface="+mn-lt"/>
              <a:ea typeface="+mn-ea"/>
              <a:cs typeface="+mn-cs"/>
            </a:rPr>
            <a:t>de respect et de confiance avec les élèves, les membres de l’équipe-école et la communauté</a:t>
          </a:r>
          <a:r>
            <a:rPr lang="fr-CA" sz="1400" i="1" baseline="0">
              <a:solidFill>
                <a:srgbClr val="000000"/>
              </a:solidFill>
              <a:effectLst/>
              <a:latin typeface="+mn-lt"/>
              <a:ea typeface="+mn-ea"/>
              <a:cs typeface="+mn-cs"/>
            </a:rPr>
            <a:t> </a:t>
          </a:r>
          <a:r>
            <a:rPr lang="fr-CA" sz="1400" i="1">
              <a:solidFill>
                <a:srgbClr val="000000"/>
              </a:solidFill>
              <a:effectLst/>
              <a:latin typeface="+mn-lt"/>
              <a:ea typeface="+mn-ea"/>
              <a:cs typeface="+mn-cs"/>
            </a:rPr>
            <a:t>éducative élargie.</a:t>
          </a:r>
        </a:p>
      </xdr:txBody>
    </xdr:sp>
    <xdr:clientData fPrintsWithSheet="0"/>
  </xdr:twoCellAnchor>
  <xdr:twoCellAnchor editAs="oneCell">
    <xdr:from>
      <xdr:col>6</xdr:col>
      <xdr:colOff>0</xdr:colOff>
      <xdr:row>23</xdr:row>
      <xdr:rowOff>0</xdr:rowOff>
    </xdr:from>
    <xdr:to>
      <xdr:col>6</xdr:col>
      <xdr:colOff>260803</xdr:colOff>
      <xdr:row>23</xdr:row>
      <xdr:rowOff>239336</xdr:rowOff>
    </xdr:to>
    <xdr:pic>
      <xdr:nvPicPr>
        <xdr:cNvPr id="6" name="Image 3">
          <a:extLst>
            <a:ext uri="{FF2B5EF4-FFF2-40B4-BE49-F238E27FC236}">
              <a16:creationId xmlns:a16="http://schemas.microsoft.com/office/drawing/2014/main" id="{00000000-0008-0000-0E00-000006000000}"/>
            </a:ext>
          </a:extLst>
        </xdr:cNvPr>
        <xdr:cNvPicPr>
          <a:picLocks noChangeAspect="1"/>
        </xdr:cNvPicPr>
      </xdr:nvPicPr>
      <xdr:blipFill>
        <a:blip xmlns:r="http://schemas.openxmlformats.org/officeDocument/2006/relationships" r:embed="rId2"/>
        <a:stretch>
          <a:fillRect/>
        </a:stretch>
      </xdr:blipFill>
      <xdr:spPr>
        <a:xfrm>
          <a:off x="8031480" y="5761929"/>
          <a:ext cx="260803" cy="239336"/>
        </a:xfrm>
        <a:prstGeom prst="rect">
          <a:avLst/>
        </a:prstGeom>
      </xdr:spPr>
    </xdr:pic>
    <xdr:clientData/>
  </xdr:twoCellAnchor>
  <xdr:twoCellAnchor editAs="oneCell">
    <xdr:from>
      <xdr:col>8</xdr:col>
      <xdr:colOff>2086337</xdr:colOff>
      <xdr:row>5</xdr:row>
      <xdr:rowOff>118360</xdr:rowOff>
    </xdr:from>
    <xdr:to>
      <xdr:col>9</xdr:col>
      <xdr:colOff>279050</xdr:colOff>
      <xdr:row>9</xdr:row>
      <xdr:rowOff>6599</xdr:rowOff>
    </xdr:to>
    <xdr:pic>
      <xdr:nvPicPr>
        <xdr:cNvPr id="17" name="Image 16">
          <a:extLst>
            <a:ext uri="{FF2B5EF4-FFF2-40B4-BE49-F238E27FC236}">
              <a16:creationId xmlns:a16="http://schemas.microsoft.com/office/drawing/2014/main" id="{00000000-0008-0000-0E00-000011000000}"/>
            </a:ext>
          </a:extLst>
        </xdr:cNvPr>
        <xdr:cNvPicPr>
          <a:picLocks noChangeAspect="1"/>
        </xdr:cNvPicPr>
      </xdr:nvPicPr>
      <xdr:blipFill>
        <a:blip xmlns:r="http://schemas.openxmlformats.org/officeDocument/2006/relationships" r:embed="rId3"/>
        <a:stretch>
          <a:fillRect/>
        </a:stretch>
      </xdr:blipFill>
      <xdr:spPr>
        <a:xfrm>
          <a:off x="14339297" y="1284220"/>
          <a:ext cx="532053" cy="589279"/>
        </a:xfrm>
        <a:prstGeom prst="rect">
          <a:avLst/>
        </a:prstGeom>
      </xdr:spPr>
    </xdr:pic>
    <xdr:clientData/>
  </xdr:twoCellAnchor>
  <xdr:twoCellAnchor>
    <xdr:from>
      <xdr:col>0</xdr:col>
      <xdr:colOff>48260</xdr:colOff>
      <xdr:row>43</xdr:row>
      <xdr:rowOff>6237</xdr:rowOff>
    </xdr:from>
    <xdr:to>
      <xdr:col>1</xdr:col>
      <xdr:colOff>1461135</xdr:colOff>
      <xdr:row>44</xdr:row>
      <xdr:rowOff>0</xdr:rowOff>
    </xdr:to>
    <xdr:sp macro="" textlink="">
      <xdr:nvSpPr>
        <xdr:cNvPr id="72" name="Text Box 12">
          <a:extLst>
            <a:ext uri="{FF2B5EF4-FFF2-40B4-BE49-F238E27FC236}">
              <a16:creationId xmlns:a16="http://schemas.microsoft.com/office/drawing/2014/main" id="{00000000-0008-0000-0E00-000048000000}"/>
            </a:ext>
          </a:extLst>
        </xdr:cNvPr>
        <xdr:cNvSpPr txBox="1">
          <a:spLocks noChangeArrowheads="1"/>
        </xdr:cNvSpPr>
      </xdr:nvSpPr>
      <xdr:spPr bwMode="auto">
        <a:xfrm>
          <a:off x="48260" y="11344797"/>
          <a:ext cx="3119755" cy="2523603"/>
        </a:xfrm>
        <a:prstGeom prst="rect">
          <a:avLst/>
        </a:prstGeom>
        <a:solidFill>
          <a:srgbClr val="CFCECE"/>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pPr marL="0" indent="0"/>
          <a:r>
            <a:rPr lang="fr-CA" sz="1200" b="1" i="0" u="dbl" strike="noStrike" baseline="0">
              <a:solidFill>
                <a:srgbClr val="000000"/>
              </a:solidFill>
              <a:effectLst/>
              <a:latin typeface="Arial"/>
              <a:ea typeface="+mn-ea"/>
              <a:cs typeface="Arial"/>
            </a:rPr>
            <a:t>Dimension A</a:t>
          </a:r>
        </a:p>
        <a:p>
          <a:pPr marL="0" indent="0"/>
          <a:endParaRPr lang="fr-CA" sz="1200" b="1" i="0" u="dbl" strike="noStrike" baseline="0">
            <a:solidFill>
              <a:srgbClr val="000000"/>
            </a:solidFill>
            <a:effectLst/>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Agir et se comporter de manière respectueuse envers l’école et ce qu’elle représente.</a:t>
          </a:r>
          <a:endParaRPr lang="fr-CA" sz="1100">
            <a:solidFill>
              <a:srgbClr val="000000"/>
            </a:solidFill>
            <a:effectLst/>
            <a:latin typeface="+mn-lt"/>
            <a:ea typeface="+mn-ea"/>
            <a:cs typeface="+mn-cs"/>
          </a:endParaRPr>
        </a:p>
        <a:p>
          <a:pPr lvl="0"/>
          <a:endParaRPr lang="fr-CA" sz="1100">
            <a:solidFill>
              <a:srgbClr val="000000"/>
            </a:solidFill>
            <a:effectLst/>
            <a:latin typeface="+mn-lt"/>
            <a:ea typeface="+mn-ea"/>
            <a:cs typeface="+mn-cs"/>
          </a:endParaRPr>
        </a:p>
      </xdr:txBody>
    </xdr:sp>
    <xdr:clientData fPrintsWithSheet="0"/>
  </xdr:twoCellAnchor>
  <xdr:twoCellAnchor>
    <xdr:from>
      <xdr:col>0</xdr:col>
      <xdr:colOff>48260</xdr:colOff>
      <xdr:row>47</xdr:row>
      <xdr:rowOff>6237</xdr:rowOff>
    </xdr:from>
    <xdr:to>
      <xdr:col>1</xdr:col>
      <xdr:colOff>1461135</xdr:colOff>
      <xdr:row>48</xdr:row>
      <xdr:rowOff>0</xdr:rowOff>
    </xdr:to>
    <xdr:sp macro="" textlink="">
      <xdr:nvSpPr>
        <xdr:cNvPr id="71" name="Text Box 12">
          <a:extLst>
            <a:ext uri="{FF2B5EF4-FFF2-40B4-BE49-F238E27FC236}">
              <a16:creationId xmlns:a16="http://schemas.microsoft.com/office/drawing/2014/main" id="{00000000-0008-0000-0E00-000047000000}"/>
            </a:ext>
          </a:extLst>
        </xdr:cNvPr>
        <xdr:cNvSpPr txBox="1">
          <a:spLocks noChangeArrowheads="1"/>
        </xdr:cNvSpPr>
      </xdr:nvSpPr>
      <xdr:spPr bwMode="auto">
        <a:xfrm>
          <a:off x="48260" y="14423277"/>
          <a:ext cx="3119755" cy="2523603"/>
        </a:xfrm>
        <a:prstGeom prst="rect">
          <a:avLst/>
        </a:prstGeom>
        <a:solidFill>
          <a:srgbClr val="CFCECE"/>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B</a:t>
          </a:r>
          <a:endParaRPr lang="fr-CA" sz="1200" u="dbl">
            <a:solidFill>
              <a:srgbClr val="000000"/>
            </a:solidFill>
            <a:effectLst/>
          </a:endParaRPr>
        </a:p>
        <a:p>
          <a:endParaRPr lang="fr-CA" sz="1100">
            <a:solidFill>
              <a:srgbClr val="000000"/>
            </a:solidFill>
            <a:effectLst/>
            <a:latin typeface="+mn-lt"/>
            <a:ea typeface="+mn-ea"/>
            <a:cs typeface="+mn-cs"/>
          </a:endParaRPr>
        </a:p>
        <a:p>
          <a:pPr lvl="0"/>
          <a:r>
            <a:rPr lang="fr-CA" sz="1100">
              <a:solidFill>
                <a:srgbClr val="000000"/>
              </a:solidFill>
              <a:effectLst/>
              <a:latin typeface="+mn-lt"/>
              <a:ea typeface="+mn-ea"/>
              <a:cs typeface="+mn-cs"/>
            </a:rPr>
            <a:t>Encourager et souligner les actions ou les comportements qui reflètent les valeurs de l’école et de la société québécoise.</a:t>
          </a:r>
        </a:p>
        <a:p>
          <a:pPr lvl="0"/>
          <a:endParaRPr lang="fr-CA" sz="1100">
            <a:solidFill>
              <a:srgbClr val="000000"/>
            </a:solidFill>
            <a:effectLst/>
            <a:latin typeface="+mn-lt"/>
            <a:ea typeface="+mn-ea"/>
            <a:cs typeface="+mn-cs"/>
          </a:endParaRPr>
        </a:p>
      </xdr:txBody>
    </xdr:sp>
    <xdr:clientData fPrintsWithSheet="0"/>
  </xdr:twoCellAnchor>
  <xdr:twoCellAnchor>
    <xdr:from>
      <xdr:col>0</xdr:col>
      <xdr:colOff>48260</xdr:colOff>
      <xdr:row>51</xdr:row>
      <xdr:rowOff>6237</xdr:rowOff>
    </xdr:from>
    <xdr:to>
      <xdr:col>1</xdr:col>
      <xdr:colOff>1461135</xdr:colOff>
      <xdr:row>52</xdr:row>
      <xdr:rowOff>0</xdr:rowOff>
    </xdr:to>
    <xdr:sp macro="" textlink="">
      <xdr:nvSpPr>
        <xdr:cNvPr id="70" name="Text Box 12">
          <a:extLst>
            <a:ext uri="{FF2B5EF4-FFF2-40B4-BE49-F238E27FC236}">
              <a16:creationId xmlns:a16="http://schemas.microsoft.com/office/drawing/2014/main" id="{00000000-0008-0000-0E00-000046000000}"/>
            </a:ext>
          </a:extLst>
        </xdr:cNvPr>
        <xdr:cNvSpPr txBox="1">
          <a:spLocks noChangeArrowheads="1"/>
        </xdr:cNvSpPr>
      </xdr:nvSpPr>
      <xdr:spPr bwMode="auto">
        <a:xfrm>
          <a:off x="48260" y="17532237"/>
          <a:ext cx="3119755" cy="2279763"/>
        </a:xfrm>
        <a:prstGeom prst="rect">
          <a:avLst/>
        </a:prstGeom>
        <a:solidFill>
          <a:srgbClr val="CFCECE"/>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C</a:t>
          </a:r>
          <a:endParaRPr lang="fr-CA" sz="1200">
            <a:solidFill>
              <a:srgbClr val="000000"/>
            </a:solidFill>
            <a:effectLst/>
          </a:endParaRPr>
        </a:p>
        <a:p>
          <a:endParaRPr lang="fr-CA" sz="1100">
            <a:solidFill>
              <a:srgbClr val="000000"/>
            </a:solidFill>
            <a:effectLst/>
            <a:latin typeface="+mn-lt"/>
            <a:ea typeface="+mn-ea"/>
            <a:cs typeface="+mn-cs"/>
          </a:endParaRPr>
        </a:p>
        <a:p>
          <a:pPr lvl="0"/>
          <a:r>
            <a:rPr lang="fr-FR" sz="1100">
              <a:solidFill>
                <a:srgbClr val="000000"/>
              </a:solidFill>
              <a:effectLst/>
              <a:latin typeface="+mn-lt"/>
              <a:ea typeface="+mn-ea"/>
              <a:cs typeface="+mn-cs"/>
            </a:rPr>
            <a:t>Connaître les enjeux éthiques propres à la pratique de l’enseignement afin d’agir avec intégrité dans l’exercice de ses fonctions.</a:t>
          </a:r>
          <a:endParaRPr lang="fr-CA" sz="1100">
            <a:solidFill>
              <a:srgbClr val="000000"/>
            </a:solidFill>
            <a:effectLst/>
            <a:latin typeface="+mn-lt"/>
            <a:ea typeface="+mn-ea"/>
            <a:cs typeface="+mn-cs"/>
          </a:endParaRPr>
        </a:p>
      </xdr:txBody>
    </xdr:sp>
    <xdr:clientData fPrintsWithSheet="0"/>
  </xdr:twoCellAnchor>
  <xdr:twoCellAnchor>
    <xdr:from>
      <xdr:col>0</xdr:col>
      <xdr:colOff>48260</xdr:colOff>
      <xdr:row>55</xdr:row>
      <xdr:rowOff>76200</xdr:rowOff>
    </xdr:from>
    <xdr:to>
      <xdr:col>1</xdr:col>
      <xdr:colOff>1461135</xdr:colOff>
      <xdr:row>55</xdr:row>
      <xdr:rowOff>2355963</xdr:rowOff>
    </xdr:to>
    <xdr:sp macro="" textlink="">
      <xdr:nvSpPr>
        <xdr:cNvPr id="4" name="Text Box 12">
          <a:extLst>
            <a:ext uri="{FF2B5EF4-FFF2-40B4-BE49-F238E27FC236}">
              <a16:creationId xmlns:a16="http://schemas.microsoft.com/office/drawing/2014/main" id="{00000000-0008-0000-0E00-000004000000}"/>
            </a:ext>
          </a:extLst>
        </xdr:cNvPr>
        <xdr:cNvSpPr txBox="1">
          <a:spLocks noChangeArrowheads="1"/>
        </xdr:cNvSpPr>
      </xdr:nvSpPr>
      <xdr:spPr bwMode="auto">
        <a:xfrm>
          <a:off x="48260" y="20650200"/>
          <a:ext cx="3119755" cy="2279763"/>
        </a:xfrm>
        <a:prstGeom prst="rect">
          <a:avLst/>
        </a:prstGeom>
        <a:solidFill>
          <a:srgbClr val="CFCECE"/>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D</a:t>
          </a:r>
          <a:endParaRPr lang="fr-CA" sz="1200">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Tenir compte du cadre légal en vigueur dans l’exercice de ses droits et de ses responsabilités professionnelles.</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48260</xdr:colOff>
      <xdr:row>59</xdr:row>
      <xdr:rowOff>0</xdr:rowOff>
    </xdr:from>
    <xdr:to>
      <xdr:col>1</xdr:col>
      <xdr:colOff>1461135</xdr:colOff>
      <xdr:row>59</xdr:row>
      <xdr:rowOff>2279763</xdr:rowOff>
    </xdr:to>
    <xdr:sp macro="" textlink="">
      <xdr:nvSpPr>
        <xdr:cNvPr id="5" name="Text Box 12">
          <a:extLst>
            <a:ext uri="{FF2B5EF4-FFF2-40B4-BE49-F238E27FC236}">
              <a16:creationId xmlns:a16="http://schemas.microsoft.com/office/drawing/2014/main" id="{00000000-0008-0000-0E00-000005000000}"/>
            </a:ext>
          </a:extLst>
        </xdr:cNvPr>
        <xdr:cNvSpPr txBox="1">
          <a:spLocks noChangeArrowheads="1"/>
        </xdr:cNvSpPr>
      </xdr:nvSpPr>
      <xdr:spPr bwMode="auto">
        <a:xfrm>
          <a:off x="48260" y="23713440"/>
          <a:ext cx="3119755" cy="2279763"/>
        </a:xfrm>
        <a:prstGeom prst="rect">
          <a:avLst/>
        </a:prstGeom>
        <a:solidFill>
          <a:srgbClr val="CFCECE"/>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E</a:t>
          </a:r>
          <a:endParaRPr lang="fr-CA" sz="1200">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Agir avec vigilance et diligence pour protéger la confidentialité de l’information qui se rapporte à la vie privée des élèves et des autres actrices et acteurs éducatifs.</a:t>
          </a:r>
        </a:p>
        <a:p>
          <a:endParaRPr lang="fr-CA" sz="1100">
            <a:solidFill>
              <a:srgbClr val="000000"/>
            </a:solidFill>
            <a:effectLst/>
            <a:latin typeface="+mn-lt"/>
            <a:ea typeface="+mn-ea"/>
            <a:cs typeface="+mn-cs"/>
          </a:endParaRPr>
        </a:p>
      </xdr:txBody>
    </xdr:sp>
    <xdr:clientData fPrintsWithSheet="0"/>
  </xdr:twoCellAnchor>
  <xdr:twoCellAnchor>
    <xdr:from>
      <xdr:col>0</xdr:col>
      <xdr:colOff>48260</xdr:colOff>
      <xdr:row>63</xdr:row>
      <xdr:rowOff>12700</xdr:rowOff>
    </xdr:from>
    <xdr:to>
      <xdr:col>1</xdr:col>
      <xdr:colOff>1461135</xdr:colOff>
      <xdr:row>63</xdr:row>
      <xdr:rowOff>2292463</xdr:rowOff>
    </xdr:to>
    <xdr:sp macro="" textlink="">
      <xdr:nvSpPr>
        <xdr:cNvPr id="9" name="Text Box 12">
          <a:extLst>
            <a:ext uri="{FF2B5EF4-FFF2-40B4-BE49-F238E27FC236}">
              <a16:creationId xmlns:a16="http://schemas.microsoft.com/office/drawing/2014/main" id="{00000000-0008-0000-0E00-000009000000}"/>
            </a:ext>
          </a:extLst>
        </xdr:cNvPr>
        <xdr:cNvSpPr txBox="1">
          <a:spLocks noChangeArrowheads="1"/>
        </xdr:cNvSpPr>
      </xdr:nvSpPr>
      <xdr:spPr bwMode="auto">
        <a:xfrm>
          <a:off x="48260" y="26896060"/>
          <a:ext cx="3119755" cy="2279763"/>
        </a:xfrm>
        <a:prstGeom prst="rect">
          <a:avLst/>
        </a:prstGeom>
        <a:solidFill>
          <a:srgbClr val="CFCECE"/>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F</a:t>
          </a:r>
          <a:endParaRPr lang="fr-CA" sz="1200">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Respecter les rôles et les responsabilités des personnes engagées dans la communauté éducative.</a:t>
          </a:r>
        </a:p>
        <a:p>
          <a:endParaRPr lang="fr-CA" sz="1100">
            <a:solidFill>
              <a:srgbClr val="000000"/>
            </a:solidFill>
            <a:effectLst/>
            <a:latin typeface="+mn-lt"/>
            <a:ea typeface="+mn-ea"/>
            <a:cs typeface="+mn-cs"/>
          </a:endParaRPr>
        </a:p>
      </xdr:txBody>
    </xdr:sp>
    <xdr:clientData fPrintsWithSheet="0"/>
  </xdr:twoCellAnchor>
  <xdr:twoCellAnchor>
    <xdr:from>
      <xdr:col>0</xdr:col>
      <xdr:colOff>48260</xdr:colOff>
      <xdr:row>67</xdr:row>
      <xdr:rowOff>12700</xdr:rowOff>
    </xdr:from>
    <xdr:to>
      <xdr:col>1</xdr:col>
      <xdr:colOff>1461135</xdr:colOff>
      <xdr:row>67</xdr:row>
      <xdr:rowOff>2292463</xdr:rowOff>
    </xdr:to>
    <xdr:sp macro="" textlink="">
      <xdr:nvSpPr>
        <xdr:cNvPr id="12" name="Text Box 12">
          <a:extLst>
            <a:ext uri="{FF2B5EF4-FFF2-40B4-BE49-F238E27FC236}">
              <a16:creationId xmlns:a16="http://schemas.microsoft.com/office/drawing/2014/main" id="{00000000-0008-0000-0E00-00000C000000}"/>
            </a:ext>
          </a:extLst>
        </xdr:cNvPr>
        <xdr:cNvSpPr txBox="1">
          <a:spLocks noChangeArrowheads="1"/>
        </xdr:cNvSpPr>
      </xdr:nvSpPr>
      <xdr:spPr bwMode="auto">
        <a:xfrm>
          <a:off x="48260" y="30035500"/>
          <a:ext cx="3119755" cy="2279763"/>
        </a:xfrm>
        <a:prstGeom prst="rect">
          <a:avLst/>
        </a:prstGeom>
        <a:solidFill>
          <a:srgbClr val="CFCECE"/>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G</a:t>
          </a:r>
          <a:endParaRPr lang="fr-CA" sz="1200">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Dénoncer et déconstruire les savoirs, les pratiques, les attitudes et les processus qui produisent ou reproduisent, en contexte éducatif, des situations d’exclusion et de discrimination.</a:t>
          </a:r>
        </a:p>
        <a:p>
          <a:endParaRPr lang="fr-CA" sz="1100">
            <a:solidFill>
              <a:srgbClr val="000000"/>
            </a:solidFill>
            <a:effectLst/>
            <a:latin typeface="+mn-lt"/>
            <a:ea typeface="+mn-ea"/>
            <a:cs typeface="+mn-cs"/>
          </a:endParaRPr>
        </a:p>
      </xdr:txBody>
    </xdr:sp>
    <xdr:clientData fPrintsWithSheet="0"/>
  </xdr:twoCellAnchor>
  <xdr:twoCellAnchor>
    <xdr:from>
      <xdr:col>0</xdr:col>
      <xdr:colOff>48260</xdr:colOff>
      <xdr:row>71</xdr:row>
      <xdr:rowOff>5081</xdr:rowOff>
    </xdr:from>
    <xdr:to>
      <xdr:col>1</xdr:col>
      <xdr:colOff>1461135</xdr:colOff>
      <xdr:row>71</xdr:row>
      <xdr:rowOff>1790701</xdr:rowOff>
    </xdr:to>
    <xdr:sp macro="" textlink="">
      <xdr:nvSpPr>
        <xdr:cNvPr id="15" name="Text Box 12">
          <a:extLst>
            <a:ext uri="{FF2B5EF4-FFF2-40B4-BE49-F238E27FC236}">
              <a16:creationId xmlns:a16="http://schemas.microsoft.com/office/drawing/2014/main" id="{00000000-0008-0000-0E00-00000F000000}"/>
            </a:ext>
          </a:extLst>
        </xdr:cNvPr>
        <xdr:cNvSpPr txBox="1">
          <a:spLocks noChangeArrowheads="1"/>
        </xdr:cNvSpPr>
      </xdr:nvSpPr>
      <xdr:spPr bwMode="auto">
        <a:xfrm>
          <a:off x="48260" y="32953961"/>
          <a:ext cx="3119755" cy="1785620"/>
        </a:xfrm>
        <a:prstGeom prst="rect">
          <a:avLst/>
        </a:prstGeom>
        <a:solidFill>
          <a:srgbClr val="CFCECE"/>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H</a:t>
          </a:r>
          <a:endParaRPr lang="fr-CA" sz="1200">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Adopter des pratiques et attitudes équitables, transparentes et inclusives pour prévenir toute forme de discrimination auprès des élèves, de ses collègues et de la communauté.</a:t>
          </a:r>
        </a:p>
        <a:p>
          <a:endParaRPr lang="fr-CA" sz="1100">
            <a:solidFill>
              <a:srgbClr val="000000"/>
            </a:solidFill>
            <a:effectLst/>
            <a:latin typeface="+mn-lt"/>
            <a:ea typeface="+mn-ea"/>
            <a:cs typeface="+mn-cs"/>
          </a:endParaRPr>
        </a:p>
      </xdr:txBody>
    </xdr:sp>
    <xdr:clientData fPrintsWithSheet="0"/>
  </xdr:twoCellAnchor>
  <xdr:twoCellAnchor>
    <xdr:from>
      <xdr:col>7</xdr:col>
      <xdr:colOff>857136</xdr:colOff>
      <xdr:row>43</xdr:row>
      <xdr:rowOff>1055725</xdr:rowOff>
    </xdr:from>
    <xdr:to>
      <xdr:col>7</xdr:col>
      <xdr:colOff>1219200</xdr:colOff>
      <xdr:row>43</xdr:row>
      <xdr:rowOff>1270613</xdr:rowOff>
    </xdr:to>
    <xdr:sp macro="" textlink="">
      <xdr:nvSpPr>
        <xdr:cNvPr id="8" name="Flèche droite 7">
          <a:extLst>
            <a:ext uri="{FF2B5EF4-FFF2-40B4-BE49-F238E27FC236}">
              <a16:creationId xmlns:a16="http://schemas.microsoft.com/office/drawing/2014/main" id="{00000000-0008-0000-0E00-000008000000}"/>
            </a:ext>
          </a:extLst>
        </xdr:cNvPr>
        <xdr:cNvSpPr/>
      </xdr:nvSpPr>
      <xdr:spPr>
        <a:xfrm>
          <a:off x="10999356" y="11678005"/>
          <a:ext cx="362064" cy="214888"/>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857136</xdr:colOff>
      <xdr:row>47</xdr:row>
      <xdr:rowOff>1295057</xdr:rowOff>
    </xdr:from>
    <xdr:to>
      <xdr:col>7</xdr:col>
      <xdr:colOff>1219200</xdr:colOff>
      <xdr:row>47</xdr:row>
      <xdr:rowOff>1509945</xdr:rowOff>
    </xdr:to>
    <xdr:sp macro="" textlink="">
      <xdr:nvSpPr>
        <xdr:cNvPr id="11" name="Flèche droite 7">
          <a:extLst>
            <a:ext uri="{FF2B5EF4-FFF2-40B4-BE49-F238E27FC236}">
              <a16:creationId xmlns:a16="http://schemas.microsoft.com/office/drawing/2014/main" id="{00000000-0008-0000-0E00-00000B000000}"/>
            </a:ext>
          </a:extLst>
        </xdr:cNvPr>
        <xdr:cNvSpPr/>
      </xdr:nvSpPr>
      <xdr:spPr>
        <a:xfrm>
          <a:off x="10999356" y="14995817"/>
          <a:ext cx="362064" cy="214888"/>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857136</xdr:colOff>
      <xdr:row>51</xdr:row>
      <xdr:rowOff>1207108</xdr:rowOff>
    </xdr:from>
    <xdr:to>
      <xdr:col>7</xdr:col>
      <xdr:colOff>1219200</xdr:colOff>
      <xdr:row>51</xdr:row>
      <xdr:rowOff>1421996</xdr:rowOff>
    </xdr:to>
    <xdr:sp macro="" textlink="">
      <xdr:nvSpPr>
        <xdr:cNvPr id="14" name="Flèche droite 7">
          <a:extLst>
            <a:ext uri="{FF2B5EF4-FFF2-40B4-BE49-F238E27FC236}">
              <a16:creationId xmlns:a16="http://schemas.microsoft.com/office/drawing/2014/main" id="{00000000-0008-0000-0E00-00000E000000}"/>
            </a:ext>
          </a:extLst>
        </xdr:cNvPr>
        <xdr:cNvSpPr/>
      </xdr:nvSpPr>
      <xdr:spPr>
        <a:xfrm>
          <a:off x="10999356" y="18001588"/>
          <a:ext cx="362064" cy="214888"/>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857136</xdr:colOff>
      <xdr:row>55</xdr:row>
      <xdr:rowOff>1204341</xdr:rowOff>
    </xdr:from>
    <xdr:to>
      <xdr:col>7</xdr:col>
      <xdr:colOff>1219200</xdr:colOff>
      <xdr:row>55</xdr:row>
      <xdr:rowOff>1419229</xdr:rowOff>
    </xdr:to>
    <xdr:sp macro="" textlink="">
      <xdr:nvSpPr>
        <xdr:cNvPr id="16" name="Flèche droite 7">
          <a:extLst>
            <a:ext uri="{FF2B5EF4-FFF2-40B4-BE49-F238E27FC236}">
              <a16:creationId xmlns:a16="http://schemas.microsoft.com/office/drawing/2014/main" id="{00000000-0008-0000-0E00-000010000000}"/>
            </a:ext>
          </a:extLst>
        </xdr:cNvPr>
        <xdr:cNvSpPr/>
      </xdr:nvSpPr>
      <xdr:spPr>
        <a:xfrm>
          <a:off x="10999356" y="21039201"/>
          <a:ext cx="362064" cy="214888"/>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857136</xdr:colOff>
      <xdr:row>59</xdr:row>
      <xdr:rowOff>1205656</xdr:rowOff>
    </xdr:from>
    <xdr:to>
      <xdr:col>7</xdr:col>
      <xdr:colOff>1219200</xdr:colOff>
      <xdr:row>59</xdr:row>
      <xdr:rowOff>1420544</xdr:rowOff>
    </xdr:to>
    <xdr:sp macro="" textlink="">
      <xdr:nvSpPr>
        <xdr:cNvPr id="18" name="Flèche droite 7">
          <a:extLst>
            <a:ext uri="{FF2B5EF4-FFF2-40B4-BE49-F238E27FC236}">
              <a16:creationId xmlns:a16="http://schemas.microsoft.com/office/drawing/2014/main" id="{00000000-0008-0000-0E00-000012000000}"/>
            </a:ext>
          </a:extLst>
        </xdr:cNvPr>
        <xdr:cNvSpPr/>
      </xdr:nvSpPr>
      <xdr:spPr>
        <a:xfrm>
          <a:off x="10999356" y="24172336"/>
          <a:ext cx="362064" cy="214888"/>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857136</xdr:colOff>
      <xdr:row>63</xdr:row>
      <xdr:rowOff>1210835</xdr:rowOff>
    </xdr:from>
    <xdr:to>
      <xdr:col>7</xdr:col>
      <xdr:colOff>1219200</xdr:colOff>
      <xdr:row>63</xdr:row>
      <xdr:rowOff>1425723</xdr:rowOff>
    </xdr:to>
    <xdr:sp macro="" textlink="">
      <xdr:nvSpPr>
        <xdr:cNvPr id="19" name="Flèche droite 7">
          <a:extLst>
            <a:ext uri="{FF2B5EF4-FFF2-40B4-BE49-F238E27FC236}">
              <a16:creationId xmlns:a16="http://schemas.microsoft.com/office/drawing/2014/main" id="{00000000-0008-0000-0E00-000013000000}"/>
            </a:ext>
          </a:extLst>
        </xdr:cNvPr>
        <xdr:cNvSpPr/>
      </xdr:nvSpPr>
      <xdr:spPr>
        <a:xfrm>
          <a:off x="10999356" y="27324575"/>
          <a:ext cx="362064" cy="214888"/>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857136</xdr:colOff>
      <xdr:row>67</xdr:row>
      <xdr:rowOff>1204530</xdr:rowOff>
    </xdr:from>
    <xdr:to>
      <xdr:col>7</xdr:col>
      <xdr:colOff>1219200</xdr:colOff>
      <xdr:row>67</xdr:row>
      <xdr:rowOff>1419418</xdr:rowOff>
    </xdr:to>
    <xdr:sp macro="" textlink="">
      <xdr:nvSpPr>
        <xdr:cNvPr id="20" name="Flèche droite 7">
          <a:extLst>
            <a:ext uri="{FF2B5EF4-FFF2-40B4-BE49-F238E27FC236}">
              <a16:creationId xmlns:a16="http://schemas.microsoft.com/office/drawing/2014/main" id="{00000000-0008-0000-0E00-000014000000}"/>
            </a:ext>
          </a:extLst>
        </xdr:cNvPr>
        <xdr:cNvSpPr/>
      </xdr:nvSpPr>
      <xdr:spPr>
        <a:xfrm>
          <a:off x="10999356" y="30457710"/>
          <a:ext cx="362064" cy="214888"/>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857136</xdr:colOff>
      <xdr:row>71</xdr:row>
      <xdr:rowOff>667762</xdr:rowOff>
    </xdr:from>
    <xdr:to>
      <xdr:col>7</xdr:col>
      <xdr:colOff>1219200</xdr:colOff>
      <xdr:row>71</xdr:row>
      <xdr:rowOff>882650</xdr:rowOff>
    </xdr:to>
    <xdr:sp macro="" textlink="">
      <xdr:nvSpPr>
        <xdr:cNvPr id="21" name="Flèche droite 7">
          <a:extLst>
            <a:ext uri="{FF2B5EF4-FFF2-40B4-BE49-F238E27FC236}">
              <a16:creationId xmlns:a16="http://schemas.microsoft.com/office/drawing/2014/main" id="{00000000-0008-0000-0E00-000015000000}"/>
            </a:ext>
          </a:extLst>
        </xdr:cNvPr>
        <xdr:cNvSpPr/>
      </xdr:nvSpPr>
      <xdr:spPr>
        <a:xfrm>
          <a:off x="10999356" y="32839402"/>
          <a:ext cx="362064" cy="214888"/>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1600200</xdr:colOff>
      <xdr:row>43</xdr:row>
      <xdr:rowOff>1085850</xdr:rowOff>
    </xdr:from>
    <xdr:to>
      <xdr:col>1</xdr:col>
      <xdr:colOff>1962264</xdr:colOff>
      <xdr:row>43</xdr:row>
      <xdr:rowOff>1300738</xdr:rowOff>
    </xdr:to>
    <xdr:sp macro="" textlink="">
      <xdr:nvSpPr>
        <xdr:cNvPr id="24" name="Flèche droite 7">
          <a:extLst>
            <a:ext uri="{FF2B5EF4-FFF2-40B4-BE49-F238E27FC236}">
              <a16:creationId xmlns:a16="http://schemas.microsoft.com/office/drawing/2014/main" id="{00000000-0008-0000-0E00-000018000000}"/>
            </a:ext>
          </a:extLst>
        </xdr:cNvPr>
        <xdr:cNvSpPr/>
      </xdr:nvSpPr>
      <xdr:spPr>
        <a:xfrm>
          <a:off x="3299460" y="11708130"/>
          <a:ext cx="362064" cy="214888"/>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1600200</xdr:colOff>
      <xdr:row>47</xdr:row>
      <xdr:rowOff>1325182</xdr:rowOff>
    </xdr:from>
    <xdr:to>
      <xdr:col>1</xdr:col>
      <xdr:colOff>1962264</xdr:colOff>
      <xdr:row>47</xdr:row>
      <xdr:rowOff>1540070</xdr:rowOff>
    </xdr:to>
    <xdr:sp macro="" textlink="">
      <xdr:nvSpPr>
        <xdr:cNvPr id="25" name="Flèche droite 7">
          <a:extLst>
            <a:ext uri="{FF2B5EF4-FFF2-40B4-BE49-F238E27FC236}">
              <a16:creationId xmlns:a16="http://schemas.microsoft.com/office/drawing/2014/main" id="{00000000-0008-0000-0E00-000019000000}"/>
            </a:ext>
          </a:extLst>
        </xdr:cNvPr>
        <xdr:cNvSpPr/>
      </xdr:nvSpPr>
      <xdr:spPr>
        <a:xfrm>
          <a:off x="3299460" y="15025942"/>
          <a:ext cx="362064" cy="214888"/>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1600200</xdr:colOff>
      <xdr:row>51</xdr:row>
      <xdr:rowOff>1237233</xdr:rowOff>
    </xdr:from>
    <xdr:to>
      <xdr:col>1</xdr:col>
      <xdr:colOff>1962264</xdr:colOff>
      <xdr:row>51</xdr:row>
      <xdr:rowOff>1452121</xdr:rowOff>
    </xdr:to>
    <xdr:sp macro="" textlink="">
      <xdr:nvSpPr>
        <xdr:cNvPr id="26" name="Flèche droite 7">
          <a:extLst>
            <a:ext uri="{FF2B5EF4-FFF2-40B4-BE49-F238E27FC236}">
              <a16:creationId xmlns:a16="http://schemas.microsoft.com/office/drawing/2014/main" id="{00000000-0008-0000-0E00-00001A000000}"/>
            </a:ext>
          </a:extLst>
        </xdr:cNvPr>
        <xdr:cNvSpPr/>
      </xdr:nvSpPr>
      <xdr:spPr>
        <a:xfrm>
          <a:off x="3299460" y="18031713"/>
          <a:ext cx="362064" cy="214888"/>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1600200</xdr:colOff>
      <xdr:row>55</xdr:row>
      <xdr:rowOff>1234466</xdr:rowOff>
    </xdr:from>
    <xdr:to>
      <xdr:col>1</xdr:col>
      <xdr:colOff>1962264</xdr:colOff>
      <xdr:row>55</xdr:row>
      <xdr:rowOff>1449354</xdr:rowOff>
    </xdr:to>
    <xdr:sp macro="" textlink="">
      <xdr:nvSpPr>
        <xdr:cNvPr id="27" name="Flèche droite 7">
          <a:extLst>
            <a:ext uri="{FF2B5EF4-FFF2-40B4-BE49-F238E27FC236}">
              <a16:creationId xmlns:a16="http://schemas.microsoft.com/office/drawing/2014/main" id="{00000000-0008-0000-0E00-00001B000000}"/>
            </a:ext>
          </a:extLst>
        </xdr:cNvPr>
        <xdr:cNvSpPr/>
      </xdr:nvSpPr>
      <xdr:spPr>
        <a:xfrm>
          <a:off x="3299460" y="21069326"/>
          <a:ext cx="362064" cy="214888"/>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1600200</xdr:colOff>
      <xdr:row>59</xdr:row>
      <xdr:rowOff>1235781</xdr:rowOff>
    </xdr:from>
    <xdr:to>
      <xdr:col>1</xdr:col>
      <xdr:colOff>1962264</xdr:colOff>
      <xdr:row>59</xdr:row>
      <xdr:rowOff>1450669</xdr:rowOff>
    </xdr:to>
    <xdr:sp macro="" textlink="">
      <xdr:nvSpPr>
        <xdr:cNvPr id="28" name="Flèche droite 7">
          <a:extLst>
            <a:ext uri="{FF2B5EF4-FFF2-40B4-BE49-F238E27FC236}">
              <a16:creationId xmlns:a16="http://schemas.microsoft.com/office/drawing/2014/main" id="{00000000-0008-0000-0E00-00001C000000}"/>
            </a:ext>
          </a:extLst>
        </xdr:cNvPr>
        <xdr:cNvSpPr/>
      </xdr:nvSpPr>
      <xdr:spPr>
        <a:xfrm>
          <a:off x="3299460" y="24202461"/>
          <a:ext cx="362064" cy="214888"/>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1600200</xdr:colOff>
      <xdr:row>63</xdr:row>
      <xdr:rowOff>1240960</xdr:rowOff>
    </xdr:from>
    <xdr:to>
      <xdr:col>1</xdr:col>
      <xdr:colOff>1962264</xdr:colOff>
      <xdr:row>63</xdr:row>
      <xdr:rowOff>1455848</xdr:rowOff>
    </xdr:to>
    <xdr:sp macro="" textlink="">
      <xdr:nvSpPr>
        <xdr:cNvPr id="29" name="Flèche droite 7">
          <a:extLst>
            <a:ext uri="{FF2B5EF4-FFF2-40B4-BE49-F238E27FC236}">
              <a16:creationId xmlns:a16="http://schemas.microsoft.com/office/drawing/2014/main" id="{00000000-0008-0000-0E00-00001D000000}"/>
            </a:ext>
          </a:extLst>
        </xdr:cNvPr>
        <xdr:cNvSpPr/>
      </xdr:nvSpPr>
      <xdr:spPr>
        <a:xfrm>
          <a:off x="3299460" y="27354700"/>
          <a:ext cx="362064" cy="214888"/>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1600200</xdr:colOff>
      <xdr:row>67</xdr:row>
      <xdr:rowOff>1234655</xdr:rowOff>
    </xdr:from>
    <xdr:to>
      <xdr:col>1</xdr:col>
      <xdr:colOff>1962264</xdr:colOff>
      <xdr:row>67</xdr:row>
      <xdr:rowOff>1449543</xdr:rowOff>
    </xdr:to>
    <xdr:sp macro="" textlink="">
      <xdr:nvSpPr>
        <xdr:cNvPr id="30" name="Flèche droite 7">
          <a:extLst>
            <a:ext uri="{FF2B5EF4-FFF2-40B4-BE49-F238E27FC236}">
              <a16:creationId xmlns:a16="http://schemas.microsoft.com/office/drawing/2014/main" id="{00000000-0008-0000-0E00-00001E000000}"/>
            </a:ext>
          </a:extLst>
        </xdr:cNvPr>
        <xdr:cNvSpPr/>
      </xdr:nvSpPr>
      <xdr:spPr>
        <a:xfrm>
          <a:off x="3299460" y="30487835"/>
          <a:ext cx="362064" cy="214888"/>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1600200</xdr:colOff>
      <xdr:row>71</xdr:row>
      <xdr:rowOff>697887</xdr:rowOff>
    </xdr:from>
    <xdr:to>
      <xdr:col>1</xdr:col>
      <xdr:colOff>1962264</xdr:colOff>
      <xdr:row>71</xdr:row>
      <xdr:rowOff>912775</xdr:rowOff>
    </xdr:to>
    <xdr:sp macro="" textlink="">
      <xdr:nvSpPr>
        <xdr:cNvPr id="31" name="Flèche droite 7">
          <a:extLst>
            <a:ext uri="{FF2B5EF4-FFF2-40B4-BE49-F238E27FC236}">
              <a16:creationId xmlns:a16="http://schemas.microsoft.com/office/drawing/2014/main" id="{00000000-0008-0000-0E00-00001F000000}"/>
            </a:ext>
          </a:extLst>
        </xdr:cNvPr>
        <xdr:cNvSpPr/>
      </xdr:nvSpPr>
      <xdr:spPr>
        <a:xfrm>
          <a:off x="3299460" y="32869527"/>
          <a:ext cx="362064" cy="214888"/>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editAs="oneCell">
    <xdr:from>
      <xdr:col>5</xdr:col>
      <xdr:colOff>1924050</xdr:colOff>
      <xdr:row>40</xdr:row>
      <xdr:rowOff>190500</xdr:rowOff>
    </xdr:from>
    <xdr:to>
      <xdr:col>6</xdr:col>
      <xdr:colOff>63872</xdr:colOff>
      <xdr:row>40</xdr:row>
      <xdr:rowOff>422274</xdr:rowOff>
    </xdr:to>
    <xdr:pic>
      <xdr:nvPicPr>
        <xdr:cNvPr id="32" name="Image 31">
          <a:extLst>
            <a:ext uri="{FF2B5EF4-FFF2-40B4-BE49-F238E27FC236}">
              <a16:creationId xmlns:a16="http://schemas.microsoft.com/office/drawing/2014/main" id="{00000000-0008-0000-0E00-000020000000}"/>
            </a:ext>
          </a:extLst>
        </xdr:cNvPr>
        <xdr:cNvPicPr>
          <a:picLocks noChangeAspect="1"/>
        </xdr:cNvPicPr>
      </xdr:nvPicPr>
      <xdr:blipFill>
        <a:blip xmlns:r="http://schemas.openxmlformats.org/officeDocument/2006/relationships" r:embed="rId2"/>
        <a:stretch>
          <a:fillRect/>
        </a:stretch>
      </xdr:blipFill>
      <xdr:spPr>
        <a:xfrm>
          <a:off x="7848600" y="9886950"/>
          <a:ext cx="254372" cy="231774"/>
        </a:xfrm>
        <a:prstGeom prst="rect">
          <a:avLst/>
        </a:prstGeom>
      </xdr:spPr>
    </xdr:pic>
    <xdr:clientData/>
  </xdr:twoCellAnchor>
  <xdr:twoCellAnchor>
    <xdr:from>
      <xdr:col>1</xdr:col>
      <xdr:colOff>0</xdr:colOff>
      <xdr:row>80</xdr:row>
      <xdr:rowOff>1</xdr:rowOff>
    </xdr:from>
    <xdr:to>
      <xdr:col>2</xdr:col>
      <xdr:colOff>0</xdr:colOff>
      <xdr:row>83</xdr:row>
      <xdr:rowOff>0</xdr:rowOff>
    </xdr:to>
    <xdr:sp macro="" textlink="">
      <xdr:nvSpPr>
        <xdr:cNvPr id="22" name="Rectangle : coins arrondis 21" descr="Retour à la Présentation">
          <a:hlinkClick xmlns:r="http://schemas.openxmlformats.org/officeDocument/2006/relationships" r:id="rId4"/>
          <a:extLst>
            <a:ext uri="{FF2B5EF4-FFF2-40B4-BE49-F238E27FC236}">
              <a16:creationId xmlns:a16="http://schemas.microsoft.com/office/drawing/2014/main" id="{00000000-0008-0000-0E00-000016000000}"/>
            </a:ext>
          </a:extLst>
        </xdr:cNvPr>
        <xdr:cNvSpPr/>
      </xdr:nvSpPr>
      <xdr:spPr>
        <a:xfrm>
          <a:off x="2034540" y="35250121"/>
          <a:ext cx="2110740" cy="525779"/>
        </a:xfrm>
        <a:prstGeom prst="roundRect">
          <a:avLst/>
        </a:prstGeom>
        <a:solidFill>
          <a:srgbClr val="74B4B9"/>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Retour à la Présentation</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350520</xdr:colOff>
      <xdr:row>0</xdr:row>
      <xdr:rowOff>83820</xdr:rowOff>
    </xdr:from>
    <xdr:to>
      <xdr:col>1</xdr:col>
      <xdr:colOff>1089320</xdr:colOff>
      <xdr:row>2</xdr:row>
      <xdr:rowOff>143854</xdr:rowOff>
    </xdr:to>
    <xdr:pic>
      <xdr:nvPicPr>
        <xdr:cNvPr id="2" name="logo_teluq_nb.eps" descr="Logo de l'Université TÉLUQ.">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83820"/>
          <a:ext cx="1249340" cy="654394"/>
        </a:xfrm>
        <a:prstGeom prst="rect">
          <a:avLst/>
        </a:prstGeom>
      </xdr:spPr>
    </xdr:pic>
    <xdr:clientData/>
  </xdr:twoCellAnchor>
  <xdr:twoCellAnchor>
    <xdr:from>
      <xdr:col>0</xdr:col>
      <xdr:colOff>350520</xdr:colOff>
      <xdr:row>2</xdr:row>
      <xdr:rowOff>335280</xdr:rowOff>
    </xdr:from>
    <xdr:to>
      <xdr:col>9</xdr:col>
      <xdr:colOff>106680</xdr:colOff>
      <xdr:row>30</xdr:row>
      <xdr:rowOff>60960</xdr:rowOff>
    </xdr:to>
    <xdr:sp macro="" textlink="">
      <xdr:nvSpPr>
        <xdr:cNvPr id="3" name="Rectangle 2">
          <a:extLst>
            <a:ext uri="{FF2B5EF4-FFF2-40B4-BE49-F238E27FC236}">
              <a16:creationId xmlns:a16="http://schemas.microsoft.com/office/drawing/2014/main" id="{00000000-0008-0000-0F00-000003000000}"/>
            </a:ext>
          </a:extLst>
        </xdr:cNvPr>
        <xdr:cNvSpPr/>
      </xdr:nvSpPr>
      <xdr:spPr>
        <a:xfrm>
          <a:off x="350520" y="845820"/>
          <a:ext cx="8229600" cy="6537960"/>
        </a:xfrm>
        <a:prstGeom prst="rect">
          <a:avLst/>
        </a:prstGeom>
        <a:noFill/>
        <a:ln w="6350">
          <a:solidFill>
            <a:schemeClr val="accent1">
              <a:lumMod val="60000"/>
              <a:lumOff val="40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endParaRPr lang="fr-CA" sz="1000" b="1"/>
        </a:p>
      </xdr:txBody>
    </xdr:sp>
    <xdr:clientData/>
  </xdr:twoCellAnchor>
  <xdr:twoCellAnchor editAs="oneCell">
    <xdr:from>
      <xdr:col>8</xdr:col>
      <xdr:colOff>243840</xdr:colOff>
      <xdr:row>6</xdr:row>
      <xdr:rowOff>17504</xdr:rowOff>
    </xdr:from>
    <xdr:to>
      <xdr:col>8</xdr:col>
      <xdr:colOff>461631</xdr:colOff>
      <xdr:row>6</xdr:row>
      <xdr:rowOff>242930</xdr:rowOff>
    </xdr:to>
    <xdr:pic>
      <xdr:nvPicPr>
        <xdr:cNvPr id="5" name="Image 4">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2"/>
        <a:stretch>
          <a:fillRect/>
        </a:stretch>
      </xdr:blipFill>
      <xdr:spPr>
        <a:xfrm>
          <a:off x="11224260" y="1671044"/>
          <a:ext cx="217791" cy="225426"/>
        </a:xfrm>
        <a:prstGeom prst="rect">
          <a:avLst/>
        </a:prstGeom>
      </xdr:spPr>
    </xdr:pic>
    <xdr:clientData/>
  </xdr:twoCellAnchor>
  <xdr:twoCellAnchor editAs="oneCell">
    <xdr:from>
      <xdr:col>8</xdr:col>
      <xdr:colOff>252644</xdr:colOff>
      <xdr:row>10</xdr:row>
      <xdr:rowOff>11005</xdr:rowOff>
    </xdr:from>
    <xdr:to>
      <xdr:col>8</xdr:col>
      <xdr:colOff>497702</xdr:colOff>
      <xdr:row>10</xdr:row>
      <xdr:rowOff>243840</xdr:rowOff>
    </xdr:to>
    <xdr:pic>
      <xdr:nvPicPr>
        <xdr:cNvPr id="6" name="Image 5">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3"/>
        <a:stretch>
          <a:fillRect/>
        </a:stretch>
      </xdr:blipFill>
      <xdr:spPr>
        <a:xfrm>
          <a:off x="11233064" y="2670385"/>
          <a:ext cx="245058" cy="232835"/>
        </a:xfrm>
        <a:prstGeom prst="rect">
          <a:avLst/>
        </a:prstGeom>
      </xdr:spPr>
    </xdr:pic>
    <xdr:clientData/>
  </xdr:twoCellAnchor>
  <xdr:twoCellAnchor editAs="oneCell">
    <xdr:from>
      <xdr:col>8</xdr:col>
      <xdr:colOff>243840</xdr:colOff>
      <xdr:row>18</xdr:row>
      <xdr:rowOff>9935</xdr:rowOff>
    </xdr:from>
    <xdr:to>
      <xdr:col>8</xdr:col>
      <xdr:colOff>505748</xdr:colOff>
      <xdr:row>19</xdr:row>
      <xdr:rowOff>3485</xdr:rowOff>
    </xdr:to>
    <xdr:pic>
      <xdr:nvPicPr>
        <xdr:cNvPr id="7" name="Image 6">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4"/>
        <a:stretch>
          <a:fillRect/>
        </a:stretch>
      </xdr:blipFill>
      <xdr:spPr>
        <a:xfrm>
          <a:off x="11224260" y="4680995"/>
          <a:ext cx="261908" cy="241200"/>
        </a:xfrm>
        <a:prstGeom prst="rect">
          <a:avLst/>
        </a:prstGeom>
      </xdr:spPr>
    </xdr:pic>
    <xdr:clientData/>
  </xdr:twoCellAnchor>
  <xdr:twoCellAnchor editAs="oneCell">
    <xdr:from>
      <xdr:col>8</xdr:col>
      <xdr:colOff>251460</xdr:colOff>
      <xdr:row>22</xdr:row>
      <xdr:rowOff>13971</xdr:rowOff>
    </xdr:from>
    <xdr:to>
      <xdr:col>8</xdr:col>
      <xdr:colOff>548854</xdr:colOff>
      <xdr:row>23</xdr:row>
      <xdr:rowOff>3175</xdr:rowOff>
    </xdr:to>
    <xdr:pic>
      <xdr:nvPicPr>
        <xdr:cNvPr id="8" name="Image 7">
          <a:extLst>
            <a:ext uri="{FF2B5EF4-FFF2-40B4-BE49-F238E27FC236}">
              <a16:creationId xmlns:a16="http://schemas.microsoft.com/office/drawing/2014/main" id="{00000000-0008-0000-0F00-000008000000}"/>
            </a:ext>
          </a:extLst>
        </xdr:cNvPr>
        <xdr:cNvPicPr>
          <a:picLocks noChangeAspect="1"/>
        </xdr:cNvPicPr>
      </xdr:nvPicPr>
      <xdr:blipFill>
        <a:blip xmlns:r="http://schemas.openxmlformats.org/officeDocument/2006/relationships" r:embed="rId5"/>
        <a:stretch>
          <a:fillRect/>
        </a:stretch>
      </xdr:blipFill>
      <xdr:spPr>
        <a:xfrm>
          <a:off x="11231880" y="5690871"/>
          <a:ext cx="297394" cy="240664"/>
        </a:xfrm>
        <a:prstGeom prst="rect">
          <a:avLst/>
        </a:prstGeom>
      </xdr:spPr>
    </xdr:pic>
    <xdr:clientData/>
  </xdr:twoCellAnchor>
  <xdr:twoCellAnchor editAs="oneCell">
    <xdr:from>
      <xdr:col>8</xdr:col>
      <xdr:colOff>335280</xdr:colOff>
      <xdr:row>24</xdr:row>
      <xdr:rowOff>11220</xdr:rowOff>
    </xdr:from>
    <xdr:to>
      <xdr:col>8</xdr:col>
      <xdr:colOff>541224</xdr:colOff>
      <xdr:row>25</xdr:row>
      <xdr:rowOff>960</xdr:rowOff>
    </xdr:to>
    <xdr:pic>
      <xdr:nvPicPr>
        <xdr:cNvPr id="9" name="Image 8">
          <a:extLst>
            <a:ext uri="{FF2B5EF4-FFF2-40B4-BE49-F238E27FC236}">
              <a16:creationId xmlns:a16="http://schemas.microsoft.com/office/drawing/2014/main" id="{00000000-0008-0000-0F00-000009000000}"/>
            </a:ext>
          </a:extLst>
        </xdr:cNvPr>
        <xdr:cNvPicPr>
          <a:picLocks noChangeAspect="1"/>
        </xdr:cNvPicPr>
      </xdr:nvPicPr>
      <xdr:blipFill>
        <a:blip xmlns:r="http://schemas.openxmlformats.org/officeDocument/2006/relationships" r:embed="rId6"/>
        <a:stretch>
          <a:fillRect/>
        </a:stretch>
      </xdr:blipFill>
      <xdr:spPr>
        <a:xfrm>
          <a:off x="11315700" y="6191040"/>
          <a:ext cx="205944" cy="241200"/>
        </a:xfrm>
        <a:prstGeom prst="rect">
          <a:avLst/>
        </a:prstGeom>
      </xdr:spPr>
    </xdr:pic>
    <xdr:clientData/>
  </xdr:twoCellAnchor>
  <xdr:twoCellAnchor>
    <xdr:from>
      <xdr:col>1</xdr:col>
      <xdr:colOff>22860</xdr:colOff>
      <xdr:row>31</xdr:row>
      <xdr:rowOff>0</xdr:rowOff>
    </xdr:from>
    <xdr:to>
      <xdr:col>1</xdr:col>
      <xdr:colOff>1341120</xdr:colOff>
      <xdr:row>33</xdr:row>
      <xdr:rowOff>0</xdr:rowOff>
    </xdr:to>
    <xdr:sp macro="" textlink="">
      <xdr:nvSpPr>
        <xdr:cNvPr id="21" name="Rectangle : coins arrondis 20" descr="Retour à la Présentation">
          <a:hlinkClick xmlns:r="http://schemas.openxmlformats.org/officeDocument/2006/relationships" r:id="rId7"/>
          <a:extLst>
            <a:ext uri="{FF2B5EF4-FFF2-40B4-BE49-F238E27FC236}">
              <a16:creationId xmlns:a16="http://schemas.microsoft.com/office/drawing/2014/main" id="{00000000-0008-0000-0F00-000015000000}"/>
            </a:ext>
          </a:extLst>
        </xdr:cNvPr>
        <xdr:cNvSpPr/>
      </xdr:nvSpPr>
      <xdr:spPr>
        <a:xfrm>
          <a:off x="533400" y="8023860"/>
          <a:ext cx="1318260" cy="525779"/>
        </a:xfrm>
        <a:prstGeom prst="roundRect">
          <a:avLst/>
        </a:prstGeom>
        <a:solidFill>
          <a:srgbClr val="74B4B9"/>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rgbClr val="000000"/>
              </a:solidFill>
              <a:latin typeface="+mn-lt"/>
              <a:ea typeface="+mn-ea"/>
              <a:cs typeface="+mn-cs"/>
            </a:rPr>
            <a:t>Retour à la Présentation</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350520</xdr:colOff>
      <xdr:row>0</xdr:row>
      <xdr:rowOff>83820</xdr:rowOff>
    </xdr:from>
    <xdr:to>
      <xdr:col>1</xdr:col>
      <xdr:colOff>1089320</xdr:colOff>
      <xdr:row>2</xdr:row>
      <xdr:rowOff>143854</xdr:rowOff>
    </xdr:to>
    <xdr:pic>
      <xdr:nvPicPr>
        <xdr:cNvPr id="2" name="logo_teluq_nb.eps" descr="Logo de l'Université TÉLUQ.">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83820"/>
          <a:ext cx="1249340" cy="654394"/>
        </a:xfrm>
        <a:prstGeom prst="rect">
          <a:avLst/>
        </a:prstGeom>
      </xdr:spPr>
    </xdr:pic>
    <xdr:clientData/>
  </xdr:twoCellAnchor>
  <xdr:twoCellAnchor>
    <xdr:from>
      <xdr:col>0</xdr:col>
      <xdr:colOff>350520</xdr:colOff>
      <xdr:row>2</xdr:row>
      <xdr:rowOff>335280</xdr:rowOff>
    </xdr:from>
    <xdr:to>
      <xdr:col>9</xdr:col>
      <xdr:colOff>106680</xdr:colOff>
      <xdr:row>30</xdr:row>
      <xdr:rowOff>60960</xdr:rowOff>
    </xdr:to>
    <xdr:sp macro="" textlink="">
      <xdr:nvSpPr>
        <xdr:cNvPr id="3" name="Rectangle 2">
          <a:extLst>
            <a:ext uri="{FF2B5EF4-FFF2-40B4-BE49-F238E27FC236}">
              <a16:creationId xmlns:a16="http://schemas.microsoft.com/office/drawing/2014/main" id="{00000000-0008-0000-1000-000003000000}"/>
            </a:ext>
          </a:extLst>
        </xdr:cNvPr>
        <xdr:cNvSpPr/>
      </xdr:nvSpPr>
      <xdr:spPr>
        <a:xfrm>
          <a:off x="350520" y="792480"/>
          <a:ext cx="10698480" cy="6728460"/>
        </a:xfrm>
        <a:prstGeom prst="rect">
          <a:avLst/>
        </a:prstGeom>
        <a:noFill/>
        <a:ln w="6350">
          <a:solidFill>
            <a:schemeClr val="accent1">
              <a:lumMod val="60000"/>
              <a:lumOff val="40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endParaRPr lang="fr-CA" sz="1000" b="1"/>
        </a:p>
      </xdr:txBody>
    </xdr:sp>
    <xdr:clientData/>
  </xdr:twoCellAnchor>
  <xdr:twoCellAnchor editAs="oneCell">
    <xdr:from>
      <xdr:col>8</xdr:col>
      <xdr:colOff>243840</xdr:colOff>
      <xdr:row>6</xdr:row>
      <xdr:rowOff>17504</xdr:rowOff>
    </xdr:from>
    <xdr:to>
      <xdr:col>8</xdr:col>
      <xdr:colOff>461631</xdr:colOff>
      <xdr:row>6</xdr:row>
      <xdr:rowOff>242930</xdr:rowOff>
    </xdr:to>
    <xdr:pic>
      <xdr:nvPicPr>
        <xdr:cNvPr id="4" name="Image 3">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2"/>
        <a:stretch>
          <a:fillRect/>
        </a:stretch>
      </xdr:blipFill>
      <xdr:spPr>
        <a:xfrm>
          <a:off x="10614660" y="1442444"/>
          <a:ext cx="217791" cy="225426"/>
        </a:xfrm>
        <a:prstGeom prst="rect">
          <a:avLst/>
        </a:prstGeom>
      </xdr:spPr>
    </xdr:pic>
    <xdr:clientData/>
  </xdr:twoCellAnchor>
  <xdr:twoCellAnchor editAs="oneCell">
    <xdr:from>
      <xdr:col>8</xdr:col>
      <xdr:colOff>252644</xdr:colOff>
      <xdr:row>10</xdr:row>
      <xdr:rowOff>11005</xdr:rowOff>
    </xdr:from>
    <xdr:to>
      <xdr:col>8</xdr:col>
      <xdr:colOff>497702</xdr:colOff>
      <xdr:row>10</xdr:row>
      <xdr:rowOff>243840</xdr:rowOff>
    </xdr:to>
    <xdr:pic>
      <xdr:nvPicPr>
        <xdr:cNvPr id="5" name="Image 4">
          <a:extLst>
            <a:ext uri="{FF2B5EF4-FFF2-40B4-BE49-F238E27FC236}">
              <a16:creationId xmlns:a16="http://schemas.microsoft.com/office/drawing/2014/main" id="{00000000-0008-0000-1000-000005000000}"/>
            </a:ext>
          </a:extLst>
        </xdr:cNvPr>
        <xdr:cNvPicPr>
          <a:picLocks noChangeAspect="1"/>
        </xdr:cNvPicPr>
      </xdr:nvPicPr>
      <xdr:blipFill>
        <a:blip xmlns:r="http://schemas.openxmlformats.org/officeDocument/2006/relationships" r:embed="rId3"/>
        <a:stretch>
          <a:fillRect/>
        </a:stretch>
      </xdr:blipFill>
      <xdr:spPr>
        <a:xfrm>
          <a:off x="10623464" y="2441785"/>
          <a:ext cx="245058" cy="232835"/>
        </a:xfrm>
        <a:prstGeom prst="rect">
          <a:avLst/>
        </a:prstGeom>
      </xdr:spPr>
    </xdr:pic>
    <xdr:clientData/>
  </xdr:twoCellAnchor>
  <xdr:twoCellAnchor editAs="oneCell">
    <xdr:from>
      <xdr:col>8</xdr:col>
      <xdr:colOff>243840</xdr:colOff>
      <xdr:row>18</xdr:row>
      <xdr:rowOff>9935</xdr:rowOff>
    </xdr:from>
    <xdr:to>
      <xdr:col>8</xdr:col>
      <xdr:colOff>505748</xdr:colOff>
      <xdr:row>19</xdr:row>
      <xdr:rowOff>3485</xdr:rowOff>
    </xdr:to>
    <xdr:pic>
      <xdr:nvPicPr>
        <xdr:cNvPr id="6" name="Image 5">
          <a:extLst>
            <a:ext uri="{FF2B5EF4-FFF2-40B4-BE49-F238E27FC236}">
              <a16:creationId xmlns:a16="http://schemas.microsoft.com/office/drawing/2014/main" id="{00000000-0008-0000-1000-000006000000}"/>
            </a:ext>
          </a:extLst>
        </xdr:cNvPr>
        <xdr:cNvPicPr>
          <a:picLocks noChangeAspect="1"/>
        </xdr:cNvPicPr>
      </xdr:nvPicPr>
      <xdr:blipFill>
        <a:blip xmlns:r="http://schemas.openxmlformats.org/officeDocument/2006/relationships" r:embed="rId4"/>
        <a:stretch>
          <a:fillRect/>
        </a:stretch>
      </xdr:blipFill>
      <xdr:spPr>
        <a:xfrm>
          <a:off x="10614660" y="4452395"/>
          <a:ext cx="261908" cy="241200"/>
        </a:xfrm>
        <a:prstGeom prst="rect">
          <a:avLst/>
        </a:prstGeom>
      </xdr:spPr>
    </xdr:pic>
    <xdr:clientData/>
  </xdr:twoCellAnchor>
  <xdr:twoCellAnchor editAs="oneCell">
    <xdr:from>
      <xdr:col>8</xdr:col>
      <xdr:colOff>251460</xdr:colOff>
      <xdr:row>22</xdr:row>
      <xdr:rowOff>13971</xdr:rowOff>
    </xdr:from>
    <xdr:to>
      <xdr:col>8</xdr:col>
      <xdr:colOff>548854</xdr:colOff>
      <xdr:row>23</xdr:row>
      <xdr:rowOff>3175</xdr:rowOff>
    </xdr:to>
    <xdr:pic>
      <xdr:nvPicPr>
        <xdr:cNvPr id="7" name="Image 6">
          <a:extLst>
            <a:ext uri="{FF2B5EF4-FFF2-40B4-BE49-F238E27FC236}">
              <a16:creationId xmlns:a16="http://schemas.microsoft.com/office/drawing/2014/main" id="{00000000-0008-0000-1000-000007000000}"/>
            </a:ext>
          </a:extLst>
        </xdr:cNvPr>
        <xdr:cNvPicPr>
          <a:picLocks noChangeAspect="1"/>
        </xdr:cNvPicPr>
      </xdr:nvPicPr>
      <xdr:blipFill>
        <a:blip xmlns:r="http://schemas.openxmlformats.org/officeDocument/2006/relationships" r:embed="rId5"/>
        <a:stretch>
          <a:fillRect/>
        </a:stretch>
      </xdr:blipFill>
      <xdr:spPr>
        <a:xfrm>
          <a:off x="10622280" y="5462271"/>
          <a:ext cx="297394" cy="240664"/>
        </a:xfrm>
        <a:prstGeom prst="rect">
          <a:avLst/>
        </a:prstGeom>
      </xdr:spPr>
    </xdr:pic>
    <xdr:clientData/>
  </xdr:twoCellAnchor>
  <xdr:twoCellAnchor editAs="oneCell">
    <xdr:from>
      <xdr:col>8</xdr:col>
      <xdr:colOff>335280</xdr:colOff>
      <xdr:row>24</xdr:row>
      <xdr:rowOff>11220</xdr:rowOff>
    </xdr:from>
    <xdr:to>
      <xdr:col>8</xdr:col>
      <xdr:colOff>541224</xdr:colOff>
      <xdr:row>25</xdr:row>
      <xdr:rowOff>960</xdr:rowOff>
    </xdr:to>
    <xdr:pic>
      <xdr:nvPicPr>
        <xdr:cNvPr id="8" name="Image 7">
          <a:extLst>
            <a:ext uri="{FF2B5EF4-FFF2-40B4-BE49-F238E27FC236}">
              <a16:creationId xmlns:a16="http://schemas.microsoft.com/office/drawing/2014/main" id="{00000000-0008-0000-1000-000008000000}"/>
            </a:ext>
          </a:extLst>
        </xdr:cNvPr>
        <xdr:cNvPicPr>
          <a:picLocks noChangeAspect="1"/>
        </xdr:cNvPicPr>
      </xdr:nvPicPr>
      <xdr:blipFill>
        <a:blip xmlns:r="http://schemas.openxmlformats.org/officeDocument/2006/relationships" r:embed="rId6"/>
        <a:stretch>
          <a:fillRect/>
        </a:stretch>
      </xdr:blipFill>
      <xdr:spPr>
        <a:xfrm>
          <a:off x="10706100" y="5962440"/>
          <a:ext cx="205944" cy="241200"/>
        </a:xfrm>
        <a:prstGeom prst="rect">
          <a:avLst/>
        </a:prstGeom>
      </xdr:spPr>
    </xdr:pic>
    <xdr:clientData/>
  </xdr:twoCellAnchor>
  <xdr:twoCellAnchor>
    <xdr:from>
      <xdr:col>1</xdr:col>
      <xdr:colOff>22860</xdr:colOff>
      <xdr:row>31</xdr:row>
      <xdr:rowOff>0</xdr:rowOff>
    </xdr:from>
    <xdr:to>
      <xdr:col>1</xdr:col>
      <xdr:colOff>1341120</xdr:colOff>
      <xdr:row>33</xdr:row>
      <xdr:rowOff>0</xdr:rowOff>
    </xdr:to>
    <xdr:sp macro="" textlink="">
      <xdr:nvSpPr>
        <xdr:cNvPr id="9" name="Rectangle : coins arrondis 8" descr="Retour à la Présentation">
          <a:hlinkClick xmlns:r="http://schemas.openxmlformats.org/officeDocument/2006/relationships" r:id="rId7"/>
          <a:extLst>
            <a:ext uri="{FF2B5EF4-FFF2-40B4-BE49-F238E27FC236}">
              <a16:creationId xmlns:a16="http://schemas.microsoft.com/office/drawing/2014/main" id="{00000000-0008-0000-1000-000009000000}"/>
            </a:ext>
          </a:extLst>
        </xdr:cNvPr>
        <xdr:cNvSpPr/>
      </xdr:nvSpPr>
      <xdr:spPr>
        <a:xfrm>
          <a:off x="533400" y="7711440"/>
          <a:ext cx="1318260" cy="525779"/>
        </a:xfrm>
        <a:prstGeom prst="roundRect">
          <a:avLst/>
        </a:prstGeom>
        <a:solidFill>
          <a:srgbClr val="74B4B9"/>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rgbClr val="000000"/>
              </a:solidFill>
              <a:latin typeface="+mn-lt"/>
              <a:ea typeface="+mn-ea"/>
              <a:cs typeface="+mn-cs"/>
            </a:rPr>
            <a:t>Retour à la Présentation</a:t>
          </a:r>
        </a:p>
      </xdr:txBody>
    </xdr:sp>
    <xdr:clientData/>
  </xdr:twoCellAnchor>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457200</xdr:colOff>
          <xdr:row>34</xdr:row>
          <xdr:rowOff>137160</xdr:rowOff>
        </xdr:from>
        <xdr:to>
          <xdr:col>9</xdr:col>
          <xdr:colOff>685800</xdr:colOff>
          <xdr:row>36</xdr:row>
          <xdr:rowOff>60960</xdr:rowOff>
        </xdr:to>
        <xdr:sp macro="" textlink="">
          <xdr:nvSpPr>
            <xdr:cNvPr id="31747" name="Check Box 3" descr="Sommatif pers. enseignante" hidden="1">
              <a:extLst>
                <a:ext uri="{63B3BB69-23CF-44E3-9099-C40C66FF867C}">
                  <a14:compatExt spid="_x0000_s31747"/>
                </a:ext>
                <a:ext uri="{FF2B5EF4-FFF2-40B4-BE49-F238E27FC236}">
                  <a16:creationId xmlns:a16="http://schemas.microsoft.com/office/drawing/2014/main" id="{00000000-0008-0000-11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755617</xdr:colOff>
      <xdr:row>34</xdr:row>
      <xdr:rowOff>144780</xdr:rowOff>
    </xdr:from>
    <xdr:to>
      <xdr:col>11</xdr:col>
      <xdr:colOff>441961</xdr:colOff>
      <xdr:row>38</xdr:row>
      <xdr:rowOff>7620</xdr:rowOff>
    </xdr:to>
    <xdr:sp macro="" textlink="">
      <xdr:nvSpPr>
        <xdr:cNvPr id="3" name="ZoneTexte 2">
          <a:extLst>
            <a:ext uri="{FF2B5EF4-FFF2-40B4-BE49-F238E27FC236}">
              <a16:creationId xmlns:a16="http://schemas.microsoft.com/office/drawing/2014/main" id="{00000000-0008-0000-1100-000003000000}"/>
            </a:ext>
          </a:extLst>
        </xdr:cNvPr>
        <xdr:cNvSpPr txBox="1"/>
      </xdr:nvSpPr>
      <xdr:spPr>
        <a:xfrm>
          <a:off x="7049737" y="5928360"/>
          <a:ext cx="1393224" cy="563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000">
              <a:solidFill>
                <a:schemeClr val="tx1">
                  <a:lumMod val="65000"/>
                  <a:lumOff val="35000"/>
                </a:schemeClr>
              </a:solidFill>
            </a:rPr>
            <a:t>Sommatif personne enseignante</a:t>
          </a:r>
        </a:p>
      </xdr:txBody>
    </xdr:sp>
    <xdr:clientData/>
  </xdr:twoCellAnchor>
  <mc:AlternateContent xmlns:mc="http://schemas.openxmlformats.org/markup-compatibility/2006">
    <mc:Choice xmlns:a14="http://schemas.microsoft.com/office/drawing/2010/main" Requires="a14">
      <xdr:twoCellAnchor editAs="oneCell">
        <xdr:from>
          <xdr:col>11</xdr:col>
          <xdr:colOff>480060</xdr:colOff>
          <xdr:row>35</xdr:row>
          <xdr:rowOff>0</xdr:rowOff>
        </xdr:from>
        <xdr:to>
          <xdr:col>11</xdr:col>
          <xdr:colOff>685800</xdr:colOff>
          <xdr:row>36</xdr:row>
          <xdr:rowOff>22860</xdr:rowOff>
        </xdr:to>
        <xdr:sp macro="" textlink="">
          <xdr:nvSpPr>
            <xdr:cNvPr id="31748" name="Check Box 4" descr="Sommatif encadrement" hidden="1">
              <a:extLst>
                <a:ext uri="{63B3BB69-23CF-44E3-9099-C40C66FF867C}">
                  <a14:compatExt spid="_x0000_s31748"/>
                </a:ext>
                <a:ext uri="{FF2B5EF4-FFF2-40B4-BE49-F238E27FC236}">
                  <a16:creationId xmlns:a16="http://schemas.microsoft.com/office/drawing/2014/main" id="{00000000-0008-0000-11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724954</xdr:colOff>
      <xdr:row>34</xdr:row>
      <xdr:rowOff>152400</xdr:rowOff>
    </xdr:from>
    <xdr:to>
      <xdr:col>13</xdr:col>
      <xdr:colOff>548640</xdr:colOff>
      <xdr:row>38</xdr:row>
      <xdr:rowOff>53340</xdr:rowOff>
    </xdr:to>
    <xdr:sp macro="" textlink="">
      <xdr:nvSpPr>
        <xdr:cNvPr id="5" name="ZoneTexte 4">
          <a:extLst>
            <a:ext uri="{FF2B5EF4-FFF2-40B4-BE49-F238E27FC236}">
              <a16:creationId xmlns:a16="http://schemas.microsoft.com/office/drawing/2014/main" id="{00000000-0008-0000-1100-000005000000}"/>
            </a:ext>
          </a:extLst>
        </xdr:cNvPr>
        <xdr:cNvSpPr txBox="1"/>
      </xdr:nvSpPr>
      <xdr:spPr>
        <a:xfrm>
          <a:off x="8725954" y="5935980"/>
          <a:ext cx="1530566" cy="601980"/>
        </a:xfrm>
        <a:prstGeom prst="rect">
          <a:avLst/>
        </a:prstGeom>
        <a:pattFill prst="pct5">
          <a:fgClr>
            <a:schemeClr val="lt1"/>
          </a:fgClr>
          <a:bgClr>
            <a:schemeClr val="bg1"/>
          </a:bgClr>
        </a:patt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000">
              <a:solidFill>
                <a:schemeClr val="tx1">
                  <a:lumMod val="65000"/>
                  <a:lumOff val="35000"/>
                </a:schemeClr>
              </a:solidFill>
            </a:rPr>
            <a:t>Sommatif encadrement</a:t>
          </a:r>
        </a:p>
      </xdr:txBody>
    </xdr:sp>
    <xdr:clientData/>
  </xdr:twoCellAnchor>
  <mc:AlternateContent xmlns:mc="http://schemas.openxmlformats.org/markup-compatibility/2006">
    <mc:Choice xmlns:a14="http://schemas.microsoft.com/office/drawing/2010/main" Requires="a14">
      <xdr:twoCellAnchor editAs="oneCell">
        <xdr:from>
          <xdr:col>7</xdr:col>
          <xdr:colOff>441960</xdr:colOff>
          <xdr:row>34</xdr:row>
          <xdr:rowOff>137160</xdr:rowOff>
        </xdr:from>
        <xdr:to>
          <xdr:col>7</xdr:col>
          <xdr:colOff>693420</xdr:colOff>
          <xdr:row>36</xdr:row>
          <xdr:rowOff>45720</xdr:rowOff>
        </xdr:to>
        <xdr:sp macro="" textlink="">
          <xdr:nvSpPr>
            <xdr:cNvPr id="31746" name="Check Box 2" descr="Formatif encadrement" hidden="1">
              <a:extLst>
                <a:ext uri="{63B3BB69-23CF-44E3-9099-C40C66FF867C}">
                  <a14:compatExt spid="_x0000_s31746"/>
                </a:ext>
                <a:ext uri="{FF2B5EF4-FFF2-40B4-BE49-F238E27FC236}">
                  <a16:creationId xmlns:a16="http://schemas.microsoft.com/office/drawing/2014/main" id="{00000000-0008-0000-11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695420</xdr:colOff>
      <xdr:row>34</xdr:row>
      <xdr:rowOff>144780</xdr:rowOff>
    </xdr:from>
    <xdr:to>
      <xdr:col>9</xdr:col>
      <xdr:colOff>467210</xdr:colOff>
      <xdr:row>37</xdr:row>
      <xdr:rowOff>167640</xdr:rowOff>
    </xdr:to>
    <xdr:sp macro="" textlink="">
      <xdr:nvSpPr>
        <xdr:cNvPr id="7" name="ZoneTexte 6">
          <a:extLst>
            <a:ext uri="{FF2B5EF4-FFF2-40B4-BE49-F238E27FC236}">
              <a16:creationId xmlns:a16="http://schemas.microsoft.com/office/drawing/2014/main" id="{00000000-0008-0000-1100-000007000000}"/>
            </a:ext>
          </a:extLst>
        </xdr:cNvPr>
        <xdr:cNvSpPr txBox="1"/>
      </xdr:nvSpPr>
      <xdr:spPr>
        <a:xfrm>
          <a:off x="5282660" y="5928360"/>
          <a:ext cx="1478670" cy="5486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000">
              <a:solidFill>
                <a:schemeClr val="tx1">
                  <a:lumMod val="65000"/>
                  <a:lumOff val="35000"/>
                </a:schemeClr>
              </a:solidFill>
            </a:rPr>
            <a:t>Formatif </a:t>
          </a:r>
          <a:r>
            <a:rPr lang="fr-CA" sz="1000">
              <a:solidFill>
                <a:schemeClr val="tx1">
                  <a:lumMod val="65000"/>
                  <a:lumOff val="35000"/>
                </a:schemeClr>
              </a:solidFill>
              <a:latin typeface="+mn-lt"/>
              <a:ea typeface="+mn-ea"/>
              <a:cs typeface="+mn-cs"/>
            </a:rPr>
            <a:t>encadrement</a:t>
          </a:r>
        </a:p>
      </xdr:txBody>
    </xdr:sp>
    <xdr:clientData/>
  </xdr:twoCellAnchor>
  <mc:AlternateContent xmlns:mc="http://schemas.openxmlformats.org/markup-compatibility/2006">
    <mc:Choice xmlns:a14="http://schemas.microsoft.com/office/drawing/2010/main" Requires="a14">
      <xdr:twoCellAnchor editAs="oneCell">
        <xdr:from>
          <xdr:col>4</xdr:col>
          <xdr:colOff>289560</xdr:colOff>
          <xdr:row>34</xdr:row>
          <xdr:rowOff>137160</xdr:rowOff>
        </xdr:from>
        <xdr:to>
          <xdr:col>4</xdr:col>
          <xdr:colOff>563880</xdr:colOff>
          <xdr:row>36</xdr:row>
          <xdr:rowOff>60960</xdr:rowOff>
        </xdr:to>
        <xdr:sp macro="" textlink="">
          <xdr:nvSpPr>
            <xdr:cNvPr id="31745" name="Check Box 1" descr="Formatif pers. enseignante" hidden="1">
              <a:extLst>
                <a:ext uri="{63B3BB69-23CF-44E3-9099-C40C66FF867C}">
                  <a14:compatExt spid="_x0000_s31745"/>
                </a:ext>
                <a:ext uri="{FF2B5EF4-FFF2-40B4-BE49-F238E27FC236}">
                  <a16:creationId xmlns:a16="http://schemas.microsoft.com/office/drawing/2014/main" id="{00000000-0008-0000-11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586163</xdr:colOff>
      <xdr:row>34</xdr:row>
      <xdr:rowOff>144780</xdr:rowOff>
    </xdr:from>
    <xdr:to>
      <xdr:col>7</xdr:col>
      <xdr:colOff>266700</xdr:colOff>
      <xdr:row>37</xdr:row>
      <xdr:rowOff>137160</xdr:rowOff>
    </xdr:to>
    <xdr:sp macro="" textlink="">
      <xdr:nvSpPr>
        <xdr:cNvPr id="6" name="ZoneTexte 5">
          <a:extLst>
            <a:ext uri="{FF2B5EF4-FFF2-40B4-BE49-F238E27FC236}">
              <a16:creationId xmlns:a16="http://schemas.microsoft.com/office/drawing/2014/main" id="{00000000-0008-0000-1100-000006000000}"/>
            </a:ext>
          </a:extLst>
        </xdr:cNvPr>
        <xdr:cNvSpPr txBox="1"/>
      </xdr:nvSpPr>
      <xdr:spPr>
        <a:xfrm>
          <a:off x="4449503" y="5059680"/>
          <a:ext cx="1455997" cy="518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000">
              <a:solidFill>
                <a:schemeClr val="tx1">
                  <a:lumMod val="65000"/>
                  <a:lumOff val="35000"/>
                </a:schemeClr>
              </a:solidFill>
            </a:rPr>
            <a:t>Formatif personne enseignante</a:t>
          </a:r>
        </a:p>
      </xdr:txBody>
    </xdr:sp>
    <xdr:clientData/>
  </xdr:twoCellAnchor>
  <xdr:twoCellAnchor editAs="oneCell">
    <xdr:from>
      <xdr:col>0</xdr:col>
      <xdr:colOff>38100</xdr:colOff>
      <xdr:row>0</xdr:row>
      <xdr:rowOff>53340</xdr:rowOff>
    </xdr:from>
    <xdr:to>
      <xdr:col>1</xdr:col>
      <xdr:colOff>1072175</xdr:colOff>
      <xdr:row>4</xdr:row>
      <xdr:rowOff>16285</xdr:rowOff>
    </xdr:to>
    <xdr:pic>
      <xdr:nvPicPr>
        <xdr:cNvPr id="27" name="logo_teluq_nb.eps" descr="Logo de l'Université TÉLUQ.">
          <a:extLst>
            <a:ext uri="{FF2B5EF4-FFF2-40B4-BE49-F238E27FC236}">
              <a16:creationId xmlns:a16="http://schemas.microsoft.com/office/drawing/2014/main" id="{00000000-0008-0000-1100-00001B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53340"/>
          <a:ext cx="1262675" cy="663985"/>
        </a:xfrm>
        <a:prstGeom prst="rect">
          <a:avLst/>
        </a:prstGeom>
      </xdr:spPr>
    </xdr:pic>
    <xdr:clientData/>
  </xdr:twoCellAnchor>
  <xdr:twoCellAnchor>
    <xdr:from>
      <xdr:col>4</xdr:col>
      <xdr:colOff>7620</xdr:colOff>
      <xdr:row>32</xdr:row>
      <xdr:rowOff>99060</xdr:rowOff>
    </xdr:from>
    <xdr:to>
      <xdr:col>13</xdr:col>
      <xdr:colOff>662940</xdr:colOff>
      <xdr:row>52</xdr:row>
      <xdr:rowOff>144780</xdr:rowOff>
    </xdr:to>
    <xdr:sp macro="" textlink="">
      <xdr:nvSpPr>
        <xdr:cNvPr id="2" name="Rectangle 1">
          <a:extLst>
            <a:ext uri="{FF2B5EF4-FFF2-40B4-BE49-F238E27FC236}">
              <a16:creationId xmlns:a16="http://schemas.microsoft.com/office/drawing/2014/main" id="{00000000-0008-0000-1100-000002000000}"/>
            </a:ext>
          </a:extLst>
        </xdr:cNvPr>
        <xdr:cNvSpPr/>
      </xdr:nvSpPr>
      <xdr:spPr>
        <a:xfrm>
          <a:off x="3253740" y="4655820"/>
          <a:ext cx="7117080" cy="3726180"/>
        </a:xfrm>
        <a:prstGeom prst="rect">
          <a:avLst/>
        </a:prstGeom>
        <a:noFill/>
        <a:ln w="6350">
          <a:solidFill>
            <a:schemeClr val="accent1">
              <a:lumMod val="60000"/>
              <a:lumOff val="40000"/>
            </a:schemeClr>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endParaRPr lang="fr-CA" sz="1000" b="1"/>
        </a:p>
      </xdr:txBody>
    </xdr:sp>
    <xdr:clientData/>
  </xdr:twoCellAnchor>
  <xdr:oneCellAnchor>
    <xdr:from>
      <xdr:col>1</xdr:col>
      <xdr:colOff>60960</xdr:colOff>
      <xdr:row>40</xdr:row>
      <xdr:rowOff>45720</xdr:rowOff>
    </xdr:from>
    <xdr:ext cx="1584960" cy="426720"/>
    <xdr:sp macro="" textlink="">
      <xdr:nvSpPr>
        <xdr:cNvPr id="10" name="Rectangle : coins arrondis 9" descr="Retour à la Présentation">
          <a:hlinkClick xmlns:r="http://schemas.openxmlformats.org/officeDocument/2006/relationships" r:id="rId2"/>
          <a:extLst>
            <a:ext uri="{FF2B5EF4-FFF2-40B4-BE49-F238E27FC236}">
              <a16:creationId xmlns:a16="http://schemas.microsoft.com/office/drawing/2014/main" id="{00000000-0008-0000-1100-00000A000000}"/>
            </a:ext>
          </a:extLst>
        </xdr:cNvPr>
        <xdr:cNvSpPr/>
      </xdr:nvSpPr>
      <xdr:spPr>
        <a:xfrm>
          <a:off x="289560" y="7101840"/>
          <a:ext cx="1584960" cy="426720"/>
        </a:xfrm>
        <a:prstGeom prst="roundRect">
          <a:avLst/>
        </a:prstGeom>
        <a:solidFill>
          <a:srgbClr val="74B4B9"/>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spAutoFit/>
        </a:bodyPr>
        <a:lstStyle/>
        <a:p>
          <a:pPr algn="l"/>
          <a:r>
            <a:rPr lang="fr-CA" sz="1000" b="1" spc="200" baseline="0">
              <a:solidFill>
                <a:schemeClr val="tx1"/>
              </a:solidFill>
              <a:latin typeface="+mn-lt"/>
              <a:ea typeface="+mn-ea"/>
              <a:cs typeface="+mn-cs"/>
            </a:rPr>
            <a:t>Retour à la Présentation</a:t>
          </a:r>
        </a:p>
      </xdr:txBody>
    </xdr:sp>
    <xdr:clientData/>
  </xdr:oneCellAnchor>
  <xdr:twoCellAnchor>
    <xdr:from>
      <xdr:col>4</xdr:col>
      <xdr:colOff>0</xdr:colOff>
      <xdr:row>0</xdr:row>
      <xdr:rowOff>83820</xdr:rowOff>
    </xdr:from>
    <xdr:to>
      <xdr:col>13</xdr:col>
      <xdr:colOff>670560</xdr:colOff>
      <xdr:row>32</xdr:row>
      <xdr:rowOff>45720</xdr:rowOff>
    </xdr:to>
    <xdr:graphicFrame macro="">
      <xdr:nvGraphicFramePr>
        <xdr:cNvPr id="31771" name="Graphique 34">
          <a:extLst>
            <a:ext uri="{FF2B5EF4-FFF2-40B4-BE49-F238E27FC236}">
              <a16:creationId xmlns:a16="http://schemas.microsoft.com/office/drawing/2014/main" id="{00000000-0008-0000-1100-00001B7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190500</xdr:colOff>
      <xdr:row>7</xdr:row>
      <xdr:rowOff>91440</xdr:rowOff>
    </xdr:from>
    <xdr:to>
      <xdr:col>2</xdr:col>
      <xdr:colOff>662940</xdr:colOff>
      <xdr:row>29</xdr:row>
      <xdr:rowOff>167640</xdr:rowOff>
    </xdr:to>
    <mc:AlternateContent xmlns:mc="http://schemas.openxmlformats.org/markup-compatibility/2006" xmlns:sle15="http://schemas.microsoft.com/office/drawing/2012/slicer">
      <mc:Choice Requires="sle15">
        <xdr:graphicFrame macro="">
          <xdr:nvGraphicFramePr>
            <xdr:cNvPr id="4" name="# Compétences">
              <a:extLst>
                <a:ext uri="{FF2B5EF4-FFF2-40B4-BE49-F238E27FC236}">
                  <a16:creationId xmlns:a16="http://schemas.microsoft.com/office/drawing/2014/main" id="{00000000-0008-0000-1100-000004000000}"/>
                </a:ext>
              </a:extLst>
            </xdr:cNvPr>
            <xdr:cNvGraphicFramePr/>
          </xdr:nvGraphicFramePr>
          <xdr:xfrm>
            <a:off x="0" y="0"/>
            <a:ext cx="0" cy="0"/>
          </xdr:xfrm>
          <a:graphic>
            <a:graphicData uri="http://schemas.microsoft.com/office/drawing/2010/slicer">
              <sle:slicer xmlns:sle="http://schemas.microsoft.com/office/drawing/2010/slicer" name="# Compétences"/>
            </a:graphicData>
          </a:graphic>
        </xdr:graphicFrame>
      </mc:Choice>
      <mc:Fallback xmlns="">
        <xdr:sp macro="" textlink="">
          <xdr:nvSpPr>
            <xdr:cNvPr id="0" name=""/>
            <xdr:cNvSpPr>
              <a:spLocks noTextEdit="1"/>
            </xdr:cNvSpPr>
          </xdr:nvSpPr>
          <xdr:spPr>
            <a:xfrm>
              <a:off x="190500" y="1318260"/>
              <a:ext cx="1828800" cy="3931920"/>
            </a:xfrm>
            <a:prstGeom prst="rect">
              <a:avLst/>
            </a:prstGeom>
            <a:solidFill>
              <a:prstClr val="white"/>
            </a:solidFill>
            <a:ln w="1">
              <a:solidFill>
                <a:prstClr val="green"/>
              </a:solidFill>
            </a:ln>
          </xdr:spPr>
          <xdr:txBody>
            <a:bodyPr vertOverflow="clip" horzOverflow="clip"/>
            <a:lstStyle/>
            <a:p>
              <a:r>
                <a:rPr lang="fr-CA"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twoCellAnchor editAs="absolute">
    <xdr:from>
      <xdr:col>0</xdr:col>
      <xdr:colOff>182880</xdr:colOff>
      <xdr:row>30</xdr:row>
      <xdr:rowOff>30481</xdr:rowOff>
    </xdr:from>
    <xdr:to>
      <xdr:col>2</xdr:col>
      <xdr:colOff>655320</xdr:colOff>
      <xdr:row>39</xdr:row>
      <xdr:rowOff>167641</xdr:rowOff>
    </xdr:to>
    <mc:AlternateContent xmlns:mc="http://schemas.openxmlformats.org/markup-compatibility/2006" xmlns:sle15="http://schemas.microsoft.com/office/drawing/2012/slicer">
      <mc:Choice Requires="sle15">
        <xdr:graphicFrame macro="">
          <xdr:nvGraphicFramePr>
            <xdr:cNvPr id="8" name="Groupe">
              <a:extLst>
                <a:ext uri="{FF2B5EF4-FFF2-40B4-BE49-F238E27FC236}">
                  <a16:creationId xmlns:a16="http://schemas.microsoft.com/office/drawing/2014/main" id="{00000000-0008-0000-1100-000008000000}"/>
                </a:ext>
              </a:extLst>
            </xdr:cNvPr>
            <xdr:cNvGraphicFramePr/>
          </xdr:nvGraphicFramePr>
          <xdr:xfrm>
            <a:off x="0" y="0"/>
            <a:ext cx="0" cy="0"/>
          </xdr:xfrm>
          <a:graphic>
            <a:graphicData uri="http://schemas.microsoft.com/office/drawing/2010/slicer">
              <sle:slicer xmlns:sle="http://schemas.microsoft.com/office/drawing/2010/slicer" name="Groupe"/>
            </a:graphicData>
          </a:graphic>
        </xdr:graphicFrame>
      </mc:Choice>
      <mc:Fallback xmlns="">
        <xdr:sp macro="" textlink="">
          <xdr:nvSpPr>
            <xdr:cNvPr id="0" name=""/>
            <xdr:cNvSpPr>
              <a:spLocks noTextEdit="1"/>
            </xdr:cNvSpPr>
          </xdr:nvSpPr>
          <xdr:spPr>
            <a:xfrm>
              <a:off x="182880" y="5288281"/>
              <a:ext cx="1828800" cy="1722120"/>
            </a:xfrm>
            <a:prstGeom prst="rect">
              <a:avLst/>
            </a:prstGeom>
            <a:solidFill>
              <a:prstClr val="white"/>
            </a:solidFill>
            <a:ln w="1">
              <a:solidFill>
                <a:prstClr val="green"/>
              </a:solidFill>
            </a:ln>
          </xdr:spPr>
          <xdr:txBody>
            <a:bodyPr vertOverflow="clip" horzOverflow="clip"/>
            <a:lstStyle/>
            <a:p>
              <a:r>
                <a:rPr lang="fr-CA" sz="1100"/>
                <a:t>Cette forme représente un segment de table. Les segments de table ne sont pas pris en charge dans cette version d’Excel.
En revanche, si la forme a été modifiée dans une version antérieure d’Excel, ou si le classeur a été enregistré dans Excel 2007 ou une version antérieure, vous ne pouvez pas utiliser le segment.</a:t>
              </a:r>
            </a:p>
          </xdr:txBody>
        </xdr:sp>
      </mc:Fallback>
    </mc:AlternateContent>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38878</xdr:colOff>
      <xdr:row>106</xdr:row>
      <xdr:rowOff>101081</xdr:rowOff>
    </xdr:from>
    <xdr:to>
      <xdr:col>1</xdr:col>
      <xdr:colOff>311021</xdr:colOff>
      <xdr:row>109</xdr:row>
      <xdr:rowOff>101082</xdr:rowOff>
    </xdr:to>
    <xdr:sp macro="" textlink="">
      <xdr:nvSpPr>
        <xdr:cNvPr id="5" name="Rectangle : coins arrondis 4" descr="Retour à la Présentation">
          <a:hlinkClick xmlns:r="http://schemas.openxmlformats.org/officeDocument/2006/relationships" r:id="rId1"/>
          <a:extLst>
            <a:ext uri="{FF2B5EF4-FFF2-40B4-BE49-F238E27FC236}">
              <a16:creationId xmlns:a16="http://schemas.microsoft.com/office/drawing/2014/main" id="{00000000-0008-0000-1200-000005000000}"/>
            </a:ext>
          </a:extLst>
        </xdr:cNvPr>
        <xdr:cNvSpPr/>
      </xdr:nvSpPr>
      <xdr:spPr>
        <a:xfrm>
          <a:off x="38878" y="20504020"/>
          <a:ext cx="1873898" cy="536511"/>
        </a:xfrm>
        <a:prstGeom prst="roundRect">
          <a:avLst/>
        </a:prstGeom>
        <a:solidFill>
          <a:srgbClr val="74B4B9"/>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Retour à la Présentation</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76200</xdr:colOff>
      <xdr:row>0</xdr:row>
      <xdr:rowOff>38100</xdr:rowOff>
    </xdr:from>
    <xdr:ext cx="1358900" cy="736600"/>
    <xdr:pic>
      <xdr:nvPicPr>
        <xdr:cNvPr id="2" name="logo_teluq_nb.eps" descr="Logo de l'Université TÉLUQ.">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38100"/>
          <a:ext cx="1358900" cy="736600"/>
        </a:xfrm>
        <a:prstGeom prst="rect">
          <a:avLst/>
        </a:prstGeom>
      </xdr:spPr>
    </xdr:pic>
    <xdr:clientData/>
  </xdr:oneCellAnchor>
  <xdr:twoCellAnchor>
    <xdr:from>
      <xdr:col>0</xdr:col>
      <xdr:colOff>0</xdr:colOff>
      <xdr:row>4</xdr:row>
      <xdr:rowOff>0</xdr:rowOff>
    </xdr:from>
    <xdr:to>
      <xdr:col>8</xdr:col>
      <xdr:colOff>2035629</xdr:colOff>
      <xdr:row>11</xdr:row>
      <xdr:rowOff>114300</xdr:rowOff>
    </xdr:to>
    <xdr:sp macro="" textlink="">
      <xdr:nvSpPr>
        <xdr:cNvPr id="3" name="Text Box 12">
          <a:extLst>
            <a:ext uri="{FF2B5EF4-FFF2-40B4-BE49-F238E27FC236}">
              <a16:creationId xmlns:a16="http://schemas.microsoft.com/office/drawing/2014/main" id="{00000000-0008-0000-0100-000003000000}"/>
            </a:ext>
          </a:extLst>
        </xdr:cNvPr>
        <xdr:cNvSpPr txBox="1">
          <a:spLocks noChangeArrowheads="1"/>
        </xdr:cNvSpPr>
      </xdr:nvSpPr>
      <xdr:spPr bwMode="auto">
        <a:xfrm>
          <a:off x="0" y="1001486"/>
          <a:ext cx="14869886" cy="1333500"/>
        </a:xfrm>
        <a:prstGeom prst="rect">
          <a:avLst/>
        </a:prstGeom>
        <a:solidFill>
          <a:srgbClr val="F7B8B3"/>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a:r>
            <a:rPr lang="en-US" sz="1800" b="1" i="0" u="none" strike="noStrike" baseline="0">
              <a:solidFill>
                <a:srgbClr val="000000"/>
              </a:solidFill>
              <a:effectLst/>
              <a:latin typeface="Arial"/>
              <a:ea typeface="+mn-ea"/>
              <a:cs typeface="Arial"/>
            </a:rPr>
            <a:t>COMPÉTENCE FONDATRICE</a:t>
          </a:r>
        </a:p>
        <a:p>
          <a:pPr marL="0" indent="0" algn="l"/>
          <a:endParaRPr lang="en-US" sz="1200" b="1" i="0" u="none" strike="noStrike" baseline="0">
            <a:solidFill>
              <a:srgbClr val="000000"/>
            </a:solidFill>
            <a:effectLst/>
            <a:latin typeface="Arial"/>
            <a:ea typeface="+mn-ea"/>
            <a:cs typeface="Arial"/>
          </a:endParaRPr>
        </a:p>
        <a:p>
          <a:pPr algn="l"/>
          <a:r>
            <a:rPr lang="en-US" sz="1400" b="1" i="0" u="none" strike="noStrike" baseline="0">
              <a:solidFill>
                <a:srgbClr val="000000"/>
              </a:solidFill>
              <a:effectLst/>
              <a:latin typeface="Arial"/>
              <a:ea typeface="+mn-ea"/>
              <a:cs typeface="Arial"/>
            </a:rPr>
            <a:t>Compétence 1 : </a:t>
          </a:r>
          <a:r>
            <a:rPr lang="fr-CA" sz="1400" b="1">
              <a:solidFill>
                <a:srgbClr val="000000"/>
              </a:solidFill>
              <a:effectLst/>
              <a:latin typeface="+mn-lt"/>
              <a:ea typeface="+mn-ea"/>
              <a:cs typeface="+mn-cs"/>
            </a:rPr>
            <a:t>Agir en tant que médiatrice ou médiateur d’éléments de culture</a:t>
          </a:r>
        </a:p>
        <a:p>
          <a:pPr algn="l"/>
          <a:r>
            <a:rPr lang="fr-CA" sz="1400" i="1">
              <a:solidFill>
                <a:srgbClr val="000000"/>
              </a:solidFill>
              <a:effectLst/>
              <a:latin typeface="+mn-lt"/>
              <a:ea typeface="+mn-ea"/>
              <a:cs typeface="+mn-cs"/>
            </a:rPr>
            <a:t>Agir en tant que professionnelle ou professionnel cultivé, à la fois interprète, médiateur et critique d’éléments de culture dans l’exercice de ses fonctions.</a:t>
          </a:r>
        </a:p>
        <a:p>
          <a:pPr algn="l"/>
          <a:endParaRPr lang="fr-CA" sz="1100" i="1">
            <a:solidFill>
              <a:srgbClr val="000000"/>
            </a:solidFill>
            <a:effectLst/>
            <a:latin typeface="+mn-lt"/>
            <a:ea typeface="+mn-ea"/>
            <a:cs typeface="+mn-cs"/>
          </a:endParaRPr>
        </a:p>
        <a:p>
          <a:pPr marL="0" indent="0" algn="l"/>
          <a:endParaRPr lang="fr-CA" sz="1200" b="1" i="0" u="dbl" strike="noStrike" baseline="0">
            <a:solidFill>
              <a:srgbClr val="000000"/>
            </a:solidFill>
            <a:effectLst/>
            <a:latin typeface="Arial"/>
            <a:ea typeface="+mn-ea"/>
            <a:cs typeface="Arial"/>
          </a:endParaRPr>
        </a:p>
      </xdr:txBody>
    </xdr:sp>
    <xdr:clientData fPrintsWithSheet="0"/>
  </xdr:twoCellAnchor>
  <xdr:twoCellAnchor editAs="oneCell">
    <xdr:from>
      <xdr:col>5</xdr:col>
      <xdr:colOff>1841500</xdr:colOff>
      <xdr:row>23</xdr:row>
      <xdr:rowOff>0</xdr:rowOff>
    </xdr:from>
    <xdr:to>
      <xdr:col>5</xdr:col>
      <xdr:colOff>2088968</xdr:colOff>
      <xdr:row>23</xdr:row>
      <xdr:rowOff>251371</xdr:rowOff>
    </xdr:to>
    <xdr:pic>
      <xdr:nvPicPr>
        <xdr:cNvPr id="16" name="Image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2"/>
        <a:stretch>
          <a:fillRect/>
        </a:stretch>
      </xdr:blipFill>
      <xdr:spPr>
        <a:xfrm>
          <a:off x="8521700" y="5540828"/>
          <a:ext cx="247468" cy="253911"/>
        </a:xfrm>
        <a:prstGeom prst="rect">
          <a:avLst/>
        </a:prstGeom>
      </xdr:spPr>
    </xdr:pic>
    <xdr:clientData/>
  </xdr:twoCellAnchor>
  <xdr:twoCellAnchor editAs="oneCell">
    <xdr:from>
      <xdr:col>8</xdr:col>
      <xdr:colOff>844823</xdr:colOff>
      <xdr:row>5</xdr:row>
      <xdr:rowOff>169453</xdr:rowOff>
    </xdr:from>
    <xdr:to>
      <xdr:col>8</xdr:col>
      <xdr:colOff>1502591</xdr:colOff>
      <xdr:row>9</xdr:row>
      <xdr:rowOff>169222</xdr:rowOff>
    </xdr:to>
    <xdr:pic>
      <xdr:nvPicPr>
        <xdr:cNvPr id="38" name="Image 37">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3"/>
        <a:stretch>
          <a:fillRect/>
        </a:stretch>
      </xdr:blipFill>
      <xdr:spPr>
        <a:xfrm>
          <a:off x="13440683" y="1335313"/>
          <a:ext cx="657768" cy="700809"/>
        </a:xfrm>
        <a:prstGeom prst="rect">
          <a:avLst/>
        </a:prstGeom>
      </xdr:spPr>
    </xdr:pic>
    <xdr:clientData/>
  </xdr:twoCellAnchor>
  <xdr:twoCellAnchor>
    <xdr:from>
      <xdr:col>0</xdr:col>
      <xdr:colOff>95249</xdr:colOff>
      <xdr:row>42</xdr:row>
      <xdr:rowOff>6237</xdr:rowOff>
    </xdr:from>
    <xdr:to>
      <xdr:col>1</xdr:col>
      <xdr:colOff>1293089</xdr:colOff>
      <xdr:row>42</xdr:row>
      <xdr:rowOff>2418237</xdr:rowOff>
    </xdr:to>
    <xdr:sp macro="" textlink="">
      <xdr:nvSpPr>
        <xdr:cNvPr id="4" name="Text Box 12">
          <a:extLst>
            <a:ext uri="{FF2B5EF4-FFF2-40B4-BE49-F238E27FC236}">
              <a16:creationId xmlns:a16="http://schemas.microsoft.com/office/drawing/2014/main" id="{00000000-0008-0000-0100-000004000000}"/>
            </a:ext>
          </a:extLst>
        </xdr:cNvPr>
        <xdr:cNvSpPr txBox="1">
          <a:spLocks noChangeArrowheads="1"/>
        </xdr:cNvSpPr>
      </xdr:nvSpPr>
      <xdr:spPr bwMode="auto">
        <a:xfrm>
          <a:off x="95249" y="10521837"/>
          <a:ext cx="3236190" cy="2412000"/>
        </a:xfrm>
        <a:prstGeom prst="rect">
          <a:avLst/>
        </a:prstGeom>
        <a:solidFill>
          <a:srgbClr val="F7B8B3"/>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pPr marL="0" indent="0"/>
          <a:r>
            <a:rPr lang="fr-CA" sz="1200" b="1" i="0" u="dbl" strike="noStrike" baseline="0">
              <a:solidFill>
                <a:srgbClr val="000000"/>
              </a:solidFill>
              <a:effectLst/>
              <a:latin typeface="Arial"/>
              <a:ea typeface="+mn-ea"/>
              <a:cs typeface="Arial"/>
            </a:rPr>
            <a:t>Dimension A</a:t>
          </a:r>
        </a:p>
        <a:p>
          <a:pPr marL="0" indent="0"/>
          <a:endParaRPr lang="fr-FR"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Démontrer une compréhension approfondie des contenus du Programme de formation de l’école québécoise, notamment de ceux associés à la discipline d’enseignement (théorie, notions, problèmes, méthodes, outils pratiques, histoire, etc.), et de leur organisation intellectuelle afin d’en dégager les points de repère essentiels et les axes d’intelligibilité qui rendront possibles des apprentissages significatifs et approfondis chez les élèves.</a:t>
          </a:r>
          <a:endParaRPr lang="fr-CA">
            <a:solidFill>
              <a:srgbClr val="000000"/>
            </a:solidFill>
            <a:effectLst/>
          </a:endParaRPr>
        </a:p>
        <a:p>
          <a:pPr lvl="0"/>
          <a:endParaRPr lang="fr-CA" sz="1100">
            <a:solidFill>
              <a:srgbClr val="000000"/>
            </a:solidFill>
            <a:effectLst/>
            <a:latin typeface="+mn-lt"/>
            <a:ea typeface="+mn-ea"/>
            <a:cs typeface="+mn-cs"/>
          </a:endParaRPr>
        </a:p>
      </xdr:txBody>
    </xdr:sp>
    <xdr:clientData fPrintsWithSheet="0"/>
  </xdr:twoCellAnchor>
  <xdr:twoCellAnchor>
    <xdr:from>
      <xdr:col>0</xdr:col>
      <xdr:colOff>95249</xdr:colOff>
      <xdr:row>50</xdr:row>
      <xdr:rowOff>60959</xdr:rowOff>
    </xdr:from>
    <xdr:to>
      <xdr:col>1</xdr:col>
      <xdr:colOff>1293089</xdr:colOff>
      <xdr:row>50</xdr:row>
      <xdr:rowOff>2103120</xdr:rowOff>
    </xdr:to>
    <xdr:sp macro="" textlink="">
      <xdr:nvSpPr>
        <xdr:cNvPr id="8" name="Text Box 12">
          <a:extLst>
            <a:ext uri="{FF2B5EF4-FFF2-40B4-BE49-F238E27FC236}">
              <a16:creationId xmlns:a16="http://schemas.microsoft.com/office/drawing/2014/main" id="{00000000-0008-0000-0100-000008000000}"/>
            </a:ext>
          </a:extLst>
        </xdr:cNvPr>
        <xdr:cNvSpPr txBox="1">
          <a:spLocks noChangeArrowheads="1"/>
        </xdr:cNvSpPr>
      </xdr:nvSpPr>
      <xdr:spPr bwMode="auto">
        <a:xfrm>
          <a:off x="95249" y="16520159"/>
          <a:ext cx="3236190" cy="2042161"/>
        </a:xfrm>
        <a:prstGeom prst="rect">
          <a:avLst/>
        </a:prstGeom>
        <a:solidFill>
          <a:srgbClr val="F7B8B3"/>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C</a:t>
          </a:r>
        </a:p>
        <a:p>
          <a:endParaRPr lang="fr-CA" sz="1200">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Susciter chez les élèves l’esprit critique, la mise à distance et la réflexivité à l’égard de l’environnement immédiat, de l’univers médiatique et numérique, des phénomènes sociaux, scientifiques, artistiques, éthiques et politiques ainsi que des productions culturelles du passé et du présent.</a:t>
          </a:r>
          <a:endParaRPr lang="fr-CA">
            <a:solidFill>
              <a:srgbClr val="000000"/>
            </a:solidFill>
            <a:effectLst/>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95249</xdr:colOff>
      <xdr:row>61</xdr:row>
      <xdr:rowOff>128157</xdr:rowOff>
    </xdr:from>
    <xdr:to>
      <xdr:col>1</xdr:col>
      <xdr:colOff>1293089</xdr:colOff>
      <xdr:row>62</xdr:row>
      <xdr:rowOff>1798320</xdr:rowOff>
    </xdr:to>
    <xdr:sp macro="" textlink="">
      <xdr:nvSpPr>
        <xdr:cNvPr id="6" name="Text Box 12">
          <a:extLst>
            <a:ext uri="{FF2B5EF4-FFF2-40B4-BE49-F238E27FC236}">
              <a16:creationId xmlns:a16="http://schemas.microsoft.com/office/drawing/2014/main" id="{00000000-0008-0000-0100-000006000000}"/>
            </a:ext>
          </a:extLst>
        </xdr:cNvPr>
        <xdr:cNvSpPr txBox="1">
          <a:spLocks noChangeArrowheads="1"/>
        </xdr:cNvSpPr>
      </xdr:nvSpPr>
      <xdr:spPr bwMode="auto">
        <a:xfrm>
          <a:off x="95249" y="24702657"/>
          <a:ext cx="3236190" cy="1860663"/>
        </a:xfrm>
        <a:prstGeom prst="rect">
          <a:avLst/>
        </a:prstGeom>
        <a:solidFill>
          <a:srgbClr val="F7B8B3"/>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F</a:t>
          </a:r>
        </a:p>
        <a:p>
          <a:endParaRPr lang="fr-CA" sz="1200">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Encourager un dialogue ouvert et critique entre la culture des jeunes et la culture transmise à l’école.</a:t>
          </a:r>
          <a:endParaRPr lang="fr-CA">
            <a:solidFill>
              <a:srgbClr val="000000"/>
            </a:solidFill>
            <a:effectLst/>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95249</xdr:colOff>
      <xdr:row>65</xdr:row>
      <xdr:rowOff>152400</xdr:rowOff>
    </xdr:from>
    <xdr:to>
      <xdr:col>1</xdr:col>
      <xdr:colOff>1293089</xdr:colOff>
      <xdr:row>66</xdr:row>
      <xdr:rowOff>1828800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95249" y="27184350"/>
          <a:ext cx="3236190" cy="1905000"/>
        </a:xfrm>
        <a:prstGeom prst="rect">
          <a:avLst/>
        </a:prstGeom>
        <a:solidFill>
          <a:srgbClr val="F7B8B3"/>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G</a:t>
          </a:r>
        </a:p>
        <a:p>
          <a:endParaRPr lang="fr-CA" sz="1200">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Porter un regard critique sur ses propres origines et ses pratiques culturelles, en reconnaître les potentialités et les limites, et trouver les moyens de les enrichir et de les diversifier.</a:t>
          </a:r>
          <a:endParaRPr lang="fr-CA">
            <a:solidFill>
              <a:srgbClr val="000000"/>
            </a:solidFill>
            <a:effectLst/>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95249</xdr:colOff>
      <xdr:row>68</xdr:row>
      <xdr:rowOff>243840</xdr:rowOff>
    </xdr:from>
    <xdr:to>
      <xdr:col>1</xdr:col>
      <xdr:colOff>1293089</xdr:colOff>
      <xdr:row>69</xdr:row>
      <xdr:rowOff>1737360</xdr:rowOff>
    </xdr:to>
    <xdr:sp macro="" textlink="">
      <xdr:nvSpPr>
        <xdr:cNvPr id="18" name="Text Box 12">
          <a:extLst>
            <a:ext uri="{FF2B5EF4-FFF2-40B4-BE49-F238E27FC236}">
              <a16:creationId xmlns:a16="http://schemas.microsoft.com/office/drawing/2014/main" id="{00000000-0008-0000-0100-000012000000}"/>
            </a:ext>
          </a:extLst>
        </xdr:cNvPr>
        <xdr:cNvSpPr txBox="1">
          <a:spLocks noChangeArrowheads="1"/>
        </xdr:cNvSpPr>
      </xdr:nvSpPr>
      <xdr:spPr bwMode="auto">
        <a:xfrm>
          <a:off x="95249" y="29618940"/>
          <a:ext cx="3236190" cy="1817370"/>
        </a:xfrm>
        <a:prstGeom prst="rect">
          <a:avLst/>
        </a:prstGeom>
        <a:solidFill>
          <a:srgbClr val="F7B8B3"/>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H</a:t>
          </a:r>
        </a:p>
        <a:p>
          <a:endParaRPr lang="fr-CA" sz="1200">
            <a:solidFill>
              <a:srgbClr val="000000"/>
            </a:solidFill>
            <a:effectLst/>
          </a:endParaRPr>
        </a:p>
        <a:p>
          <a:endParaRPr lang="fr-CA">
            <a:solidFill>
              <a:srgbClr val="000000"/>
            </a:solidFill>
            <a:effectLst/>
          </a:endParaRPr>
        </a:p>
        <a:p>
          <a:r>
            <a:rPr lang="fr-CA" sz="1100">
              <a:solidFill>
                <a:srgbClr val="000000"/>
              </a:solidFill>
              <a:effectLst/>
              <a:latin typeface="+mn-lt"/>
              <a:ea typeface="+mn-ea"/>
              <a:cs typeface="+mn-cs"/>
            </a:rPr>
            <a:t>Collaborer avec la communauté et les organismes culturels du milieu, et connaître les ressources et les programmes qui soutiennent l’enseignante ou l’enseignant dans son rôle de médiatrice ou de médiateur.</a:t>
          </a:r>
          <a:endParaRPr lang="fr-CA">
            <a:solidFill>
              <a:srgbClr val="000000"/>
            </a:solidFill>
            <a:effectLst/>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95249</xdr:colOff>
      <xdr:row>45</xdr:row>
      <xdr:rowOff>111102</xdr:rowOff>
    </xdr:from>
    <xdr:to>
      <xdr:col>1</xdr:col>
      <xdr:colOff>1293089</xdr:colOff>
      <xdr:row>46</xdr:row>
      <xdr:rowOff>2164080</xdr:rowOff>
    </xdr:to>
    <xdr:sp macro="" textlink="">
      <xdr:nvSpPr>
        <xdr:cNvPr id="11" name="Text Box 12">
          <a:extLst>
            <a:ext uri="{FF2B5EF4-FFF2-40B4-BE49-F238E27FC236}">
              <a16:creationId xmlns:a16="http://schemas.microsoft.com/office/drawing/2014/main" id="{00000000-0008-0000-0100-00000B000000}"/>
            </a:ext>
          </a:extLst>
        </xdr:cNvPr>
        <xdr:cNvSpPr txBox="1">
          <a:spLocks noChangeArrowheads="1"/>
        </xdr:cNvSpPr>
      </xdr:nvSpPr>
      <xdr:spPr bwMode="auto">
        <a:xfrm>
          <a:off x="95249" y="13484202"/>
          <a:ext cx="3236190" cy="2243478"/>
        </a:xfrm>
        <a:prstGeom prst="rect">
          <a:avLst/>
        </a:prstGeom>
        <a:solidFill>
          <a:srgbClr val="F7B8B3"/>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B</a:t>
          </a:r>
        </a:p>
        <a:p>
          <a:endParaRPr lang="fr-CA" sz="1200">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Donner du sens aux apprentissages des élèves en tissant des liens entre ceux effectués dans la classe, entre sa discipline et les autres disciplines enseignées de même qu’entre sa discipline et les œuvres, les récits, les productions du patrimoine culturel de l’humanité, les questions sociales, scientifiques, éthiques et politiques ou les situations de la vie courante.</a:t>
          </a:r>
        </a:p>
        <a:p>
          <a:endParaRPr lang="fr-CA">
            <a:solidFill>
              <a:srgbClr val="000000"/>
            </a:solidFill>
            <a:effectLst/>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95249</xdr:colOff>
      <xdr:row>54</xdr:row>
      <xdr:rowOff>169522</xdr:rowOff>
    </xdr:from>
    <xdr:to>
      <xdr:col>1</xdr:col>
      <xdr:colOff>1293089</xdr:colOff>
      <xdr:row>54</xdr:row>
      <xdr:rowOff>2103120</xdr:rowOff>
    </xdr:to>
    <xdr:sp macro="" textlink="">
      <xdr:nvSpPr>
        <xdr:cNvPr id="17" name="Text Box 12">
          <a:extLst>
            <a:ext uri="{FF2B5EF4-FFF2-40B4-BE49-F238E27FC236}">
              <a16:creationId xmlns:a16="http://schemas.microsoft.com/office/drawing/2014/main" id="{00000000-0008-0000-0100-000011000000}"/>
            </a:ext>
          </a:extLst>
        </xdr:cNvPr>
        <xdr:cNvSpPr txBox="1">
          <a:spLocks noChangeArrowheads="1"/>
        </xdr:cNvSpPr>
      </xdr:nvSpPr>
      <xdr:spPr bwMode="auto">
        <a:xfrm>
          <a:off x="95249" y="19467172"/>
          <a:ext cx="3236190" cy="1933598"/>
        </a:xfrm>
        <a:prstGeom prst="rect">
          <a:avLst/>
        </a:prstGeom>
        <a:solidFill>
          <a:srgbClr val="F7B8B3"/>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D</a:t>
          </a:r>
        </a:p>
        <a:p>
          <a:endParaRPr lang="fr-CA" sz="1200">
            <a:solidFill>
              <a:srgbClr val="000000"/>
            </a:solidFill>
            <a:effectLst/>
          </a:endParaRPr>
        </a:p>
        <a:p>
          <a:r>
            <a:rPr lang="fr-CA" sz="1100">
              <a:solidFill>
                <a:srgbClr val="000000"/>
              </a:solidFill>
              <a:effectLst/>
              <a:latin typeface="+mn-lt"/>
              <a:ea typeface="+mn-ea"/>
              <a:cs typeface="+mn-cs"/>
            </a:rPr>
            <a:t>Aménager la classe en un espace de vie inclusif et stimulant qui met la culture en valeur.</a:t>
          </a:r>
          <a:endParaRPr lang="fr-CA">
            <a:solidFill>
              <a:srgbClr val="000000"/>
            </a:solidFill>
            <a:effectLst/>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95249</xdr:colOff>
      <xdr:row>58</xdr:row>
      <xdr:rowOff>78082</xdr:rowOff>
    </xdr:from>
    <xdr:to>
      <xdr:col>1</xdr:col>
      <xdr:colOff>1293089</xdr:colOff>
      <xdr:row>58</xdr:row>
      <xdr:rowOff>1889760</xdr:rowOff>
    </xdr:to>
    <xdr:sp macro="" textlink="">
      <xdr:nvSpPr>
        <xdr:cNvPr id="25" name="Text Box 12">
          <a:extLst>
            <a:ext uri="{FF2B5EF4-FFF2-40B4-BE49-F238E27FC236}">
              <a16:creationId xmlns:a16="http://schemas.microsoft.com/office/drawing/2014/main" id="{00000000-0008-0000-0100-000019000000}"/>
            </a:ext>
          </a:extLst>
        </xdr:cNvPr>
        <xdr:cNvSpPr txBox="1">
          <a:spLocks noChangeArrowheads="1"/>
        </xdr:cNvSpPr>
      </xdr:nvSpPr>
      <xdr:spPr bwMode="auto">
        <a:xfrm>
          <a:off x="95249" y="22137982"/>
          <a:ext cx="3236190" cy="1811678"/>
        </a:xfrm>
        <a:prstGeom prst="rect">
          <a:avLst/>
        </a:prstGeom>
        <a:solidFill>
          <a:srgbClr val="F7B8B3"/>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E</a:t>
          </a:r>
        </a:p>
        <a:p>
          <a:endParaRPr lang="fr-CA" sz="1200">
            <a:solidFill>
              <a:srgbClr val="000000"/>
            </a:solidFill>
            <a:effectLst/>
          </a:endParaRPr>
        </a:p>
        <a:p>
          <a:pPr lvl="0"/>
          <a:r>
            <a:rPr lang="fr-CA" sz="1100">
              <a:solidFill>
                <a:srgbClr val="000000"/>
              </a:solidFill>
              <a:effectLst/>
              <a:latin typeface="+mn-lt"/>
              <a:ea typeface="+mn-ea"/>
              <a:cs typeface="+mn-cs"/>
            </a:rPr>
            <a:t>Amener les élèves à expliciter et à justifier leurs représentations, leurs goûts, leurs références et leurs pratiques en matière de culture.</a:t>
          </a:r>
        </a:p>
        <a:p>
          <a:r>
            <a:rPr lang="fr-CA" sz="1100">
              <a:solidFill>
                <a:srgbClr val="000000"/>
              </a:solidFill>
              <a:effectLst/>
              <a:latin typeface="+mn-lt"/>
              <a:ea typeface="+mn-ea"/>
              <a:cs typeface="+mn-cs"/>
            </a:rPr>
            <a:t> </a:t>
          </a:r>
        </a:p>
        <a:p>
          <a:endParaRPr lang="fr-CA">
            <a:solidFill>
              <a:srgbClr val="000000"/>
            </a:solidFill>
            <a:effectLst/>
          </a:endParaRPr>
        </a:p>
        <a:p>
          <a:endParaRPr lang="fr-CA" sz="1100">
            <a:solidFill>
              <a:srgbClr val="000000"/>
            </a:solidFill>
            <a:effectLst/>
            <a:latin typeface="+mn-lt"/>
            <a:ea typeface="+mn-ea"/>
            <a:cs typeface="+mn-cs"/>
          </a:endParaRPr>
        </a:p>
      </xdr:txBody>
    </xdr:sp>
    <xdr:clientData fPrintsWithSheet="0"/>
  </xdr:twoCellAnchor>
  <xdr:twoCellAnchor>
    <xdr:from>
      <xdr:col>7</xdr:col>
      <xdr:colOff>853440</xdr:colOff>
      <xdr:row>42</xdr:row>
      <xdr:rowOff>1005840</xdr:rowOff>
    </xdr:from>
    <xdr:to>
      <xdr:col>7</xdr:col>
      <xdr:colOff>1213440</xdr:colOff>
      <xdr:row>42</xdr:row>
      <xdr:rowOff>1257840</xdr:rowOff>
    </xdr:to>
    <xdr:sp macro="" textlink="">
      <xdr:nvSpPr>
        <xdr:cNvPr id="13" name="Flèche droite 7">
          <a:extLst>
            <a:ext uri="{FF2B5EF4-FFF2-40B4-BE49-F238E27FC236}">
              <a16:creationId xmlns:a16="http://schemas.microsoft.com/office/drawing/2014/main" id="{00000000-0008-0000-0100-00000D000000}"/>
            </a:ext>
          </a:extLst>
        </xdr:cNvPr>
        <xdr:cNvSpPr/>
      </xdr:nvSpPr>
      <xdr:spPr>
        <a:xfrm>
          <a:off x="11308080" y="11826240"/>
          <a:ext cx="360000" cy="252000"/>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853440</xdr:colOff>
      <xdr:row>46</xdr:row>
      <xdr:rowOff>915007</xdr:rowOff>
    </xdr:from>
    <xdr:to>
      <xdr:col>7</xdr:col>
      <xdr:colOff>1213440</xdr:colOff>
      <xdr:row>46</xdr:row>
      <xdr:rowOff>1168459</xdr:rowOff>
    </xdr:to>
    <xdr:sp macro="" textlink="">
      <xdr:nvSpPr>
        <xdr:cNvPr id="20" name="Flèche droite 7">
          <a:extLst>
            <a:ext uri="{FF2B5EF4-FFF2-40B4-BE49-F238E27FC236}">
              <a16:creationId xmlns:a16="http://schemas.microsoft.com/office/drawing/2014/main" id="{00000000-0008-0000-0100-000014000000}"/>
            </a:ext>
          </a:extLst>
        </xdr:cNvPr>
        <xdr:cNvSpPr/>
      </xdr:nvSpPr>
      <xdr:spPr>
        <a:xfrm>
          <a:off x="11308080" y="14813887"/>
          <a:ext cx="360000" cy="25345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853440</xdr:colOff>
      <xdr:row>50</xdr:row>
      <xdr:rowOff>912266</xdr:rowOff>
    </xdr:from>
    <xdr:to>
      <xdr:col>7</xdr:col>
      <xdr:colOff>1213440</xdr:colOff>
      <xdr:row>50</xdr:row>
      <xdr:rowOff>1165718</xdr:rowOff>
    </xdr:to>
    <xdr:sp macro="" textlink="">
      <xdr:nvSpPr>
        <xdr:cNvPr id="26" name="Flèche droite 7">
          <a:extLst>
            <a:ext uri="{FF2B5EF4-FFF2-40B4-BE49-F238E27FC236}">
              <a16:creationId xmlns:a16="http://schemas.microsoft.com/office/drawing/2014/main" id="{00000000-0008-0000-0100-00001A000000}"/>
            </a:ext>
          </a:extLst>
        </xdr:cNvPr>
        <xdr:cNvSpPr/>
      </xdr:nvSpPr>
      <xdr:spPr>
        <a:xfrm>
          <a:off x="11308080" y="17737226"/>
          <a:ext cx="360000" cy="25345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853440</xdr:colOff>
      <xdr:row>54</xdr:row>
      <xdr:rowOff>871774</xdr:rowOff>
    </xdr:from>
    <xdr:to>
      <xdr:col>7</xdr:col>
      <xdr:colOff>1213440</xdr:colOff>
      <xdr:row>54</xdr:row>
      <xdr:rowOff>1125226</xdr:rowOff>
    </xdr:to>
    <xdr:sp macro="" textlink="">
      <xdr:nvSpPr>
        <xdr:cNvPr id="33" name="Flèche droite 7">
          <a:extLst>
            <a:ext uri="{FF2B5EF4-FFF2-40B4-BE49-F238E27FC236}">
              <a16:creationId xmlns:a16="http://schemas.microsoft.com/office/drawing/2014/main" id="{00000000-0008-0000-0100-000021000000}"/>
            </a:ext>
          </a:extLst>
        </xdr:cNvPr>
        <xdr:cNvSpPr/>
      </xdr:nvSpPr>
      <xdr:spPr>
        <a:xfrm>
          <a:off x="11308080" y="20531374"/>
          <a:ext cx="360000" cy="25345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853440</xdr:colOff>
      <xdr:row>58</xdr:row>
      <xdr:rowOff>954654</xdr:rowOff>
    </xdr:from>
    <xdr:to>
      <xdr:col>7</xdr:col>
      <xdr:colOff>1213440</xdr:colOff>
      <xdr:row>58</xdr:row>
      <xdr:rowOff>1208106</xdr:rowOff>
    </xdr:to>
    <xdr:sp macro="" textlink="">
      <xdr:nvSpPr>
        <xdr:cNvPr id="34" name="Flèche droite 7">
          <a:extLst>
            <a:ext uri="{FF2B5EF4-FFF2-40B4-BE49-F238E27FC236}">
              <a16:creationId xmlns:a16="http://schemas.microsoft.com/office/drawing/2014/main" id="{00000000-0008-0000-0100-000022000000}"/>
            </a:ext>
          </a:extLst>
        </xdr:cNvPr>
        <xdr:cNvSpPr/>
      </xdr:nvSpPr>
      <xdr:spPr>
        <a:xfrm>
          <a:off x="11308080" y="23387934"/>
          <a:ext cx="360000" cy="25345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853440</xdr:colOff>
      <xdr:row>62</xdr:row>
      <xdr:rowOff>846815</xdr:rowOff>
    </xdr:from>
    <xdr:to>
      <xdr:col>7</xdr:col>
      <xdr:colOff>1213440</xdr:colOff>
      <xdr:row>62</xdr:row>
      <xdr:rowOff>1100267</xdr:rowOff>
    </xdr:to>
    <xdr:sp macro="" textlink="">
      <xdr:nvSpPr>
        <xdr:cNvPr id="35" name="Flèche droite 7">
          <a:extLst>
            <a:ext uri="{FF2B5EF4-FFF2-40B4-BE49-F238E27FC236}">
              <a16:creationId xmlns:a16="http://schemas.microsoft.com/office/drawing/2014/main" id="{00000000-0008-0000-0100-000023000000}"/>
            </a:ext>
          </a:extLst>
        </xdr:cNvPr>
        <xdr:cNvSpPr/>
      </xdr:nvSpPr>
      <xdr:spPr>
        <a:xfrm>
          <a:off x="11308080" y="25962335"/>
          <a:ext cx="360000" cy="25345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853440</xdr:colOff>
      <xdr:row>66</xdr:row>
      <xdr:rowOff>846973</xdr:rowOff>
    </xdr:from>
    <xdr:to>
      <xdr:col>7</xdr:col>
      <xdr:colOff>1213440</xdr:colOff>
      <xdr:row>66</xdr:row>
      <xdr:rowOff>1100425</xdr:rowOff>
    </xdr:to>
    <xdr:sp macro="" textlink="">
      <xdr:nvSpPr>
        <xdr:cNvPr id="36" name="Flèche droite 7">
          <a:extLst>
            <a:ext uri="{FF2B5EF4-FFF2-40B4-BE49-F238E27FC236}">
              <a16:creationId xmlns:a16="http://schemas.microsoft.com/office/drawing/2014/main" id="{00000000-0008-0000-0100-000024000000}"/>
            </a:ext>
          </a:extLst>
        </xdr:cNvPr>
        <xdr:cNvSpPr/>
      </xdr:nvSpPr>
      <xdr:spPr>
        <a:xfrm>
          <a:off x="11308080" y="28461853"/>
          <a:ext cx="360000" cy="25345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853440</xdr:colOff>
      <xdr:row>69</xdr:row>
      <xdr:rowOff>776576</xdr:rowOff>
    </xdr:from>
    <xdr:to>
      <xdr:col>7</xdr:col>
      <xdr:colOff>1213440</xdr:colOff>
      <xdr:row>69</xdr:row>
      <xdr:rowOff>1030028</xdr:rowOff>
    </xdr:to>
    <xdr:sp macro="" textlink="">
      <xdr:nvSpPr>
        <xdr:cNvPr id="37" name="Flèche droite 7">
          <a:extLst>
            <a:ext uri="{FF2B5EF4-FFF2-40B4-BE49-F238E27FC236}">
              <a16:creationId xmlns:a16="http://schemas.microsoft.com/office/drawing/2014/main" id="{00000000-0008-0000-0100-000025000000}"/>
            </a:ext>
          </a:extLst>
        </xdr:cNvPr>
        <xdr:cNvSpPr/>
      </xdr:nvSpPr>
      <xdr:spPr>
        <a:xfrm>
          <a:off x="11308080" y="30860336"/>
          <a:ext cx="360000" cy="25345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1554480</xdr:colOff>
      <xdr:row>42</xdr:row>
      <xdr:rowOff>944880</xdr:rowOff>
    </xdr:from>
    <xdr:to>
      <xdr:col>1</xdr:col>
      <xdr:colOff>1914480</xdr:colOff>
      <xdr:row>42</xdr:row>
      <xdr:rowOff>1196880</xdr:rowOff>
    </xdr:to>
    <xdr:sp macro="" textlink="">
      <xdr:nvSpPr>
        <xdr:cNvPr id="39" name="Flèche droite 7">
          <a:extLst>
            <a:ext uri="{FF2B5EF4-FFF2-40B4-BE49-F238E27FC236}">
              <a16:creationId xmlns:a16="http://schemas.microsoft.com/office/drawing/2014/main" id="{00000000-0008-0000-0100-000027000000}"/>
            </a:ext>
          </a:extLst>
        </xdr:cNvPr>
        <xdr:cNvSpPr/>
      </xdr:nvSpPr>
      <xdr:spPr>
        <a:xfrm>
          <a:off x="3596640" y="11765280"/>
          <a:ext cx="360000" cy="252000"/>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1554480</xdr:colOff>
      <xdr:row>46</xdr:row>
      <xdr:rowOff>854047</xdr:rowOff>
    </xdr:from>
    <xdr:to>
      <xdr:col>1</xdr:col>
      <xdr:colOff>1914480</xdr:colOff>
      <xdr:row>46</xdr:row>
      <xdr:rowOff>1107499</xdr:rowOff>
    </xdr:to>
    <xdr:sp macro="" textlink="">
      <xdr:nvSpPr>
        <xdr:cNvPr id="40" name="Flèche droite 7">
          <a:extLst>
            <a:ext uri="{FF2B5EF4-FFF2-40B4-BE49-F238E27FC236}">
              <a16:creationId xmlns:a16="http://schemas.microsoft.com/office/drawing/2014/main" id="{00000000-0008-0000-0100-000028000000}"/>
            </a:ext>
          </a:extLst>
        </xdr:cNvPr>
        <xdr:cNvSpPr/>
      </xdr:nvSpPr>
      <xdr:spPr>
        <a:xfrm>
          <a:off x="3596640" y="14752927"/>
          <a:ext cx="360000" cy="25345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1554480</xdr:colOff>
      <xdr:row>50</xdr:row>
      <xdr:rowOff>851306</xdr:rowOff>
    </xdr:from>
    <xdr:to>
      <xdr:col>1</xdr:col>
      <xdr:colOff>1914480</xdr:colOff>
      <xdr:row>50</xdr:row>
      <xdr:rowOff>1104758</xdr:rowOff>
    </xdr:to>
    <xdr:sp macro="" textlink="">
      <xdr:nvSpPr>
        <xdr:cNvPr id="41" name="Flèche droite 7">
          <a:extLst>
            <a:ext uri="{FF2B5EF4-FFF2-40B4-BE49-F238E27FC236}">
              <a16:creationId xmlns:a16="http://schemas.microsoft.com/office/drawing/2014/main" id="{00000000-0008-0000-0100-000029000000}"/>
            </a:ext>
          </a:extLst>
        </xdr:cNvPr>
        <xdr:cNvSpPr/>
      </xdr:nvSpPr>
      <xdr:spPr>
        <a:xfrm>
          <a:off x="3596640" y="17676266"/>
          <a:ext cx="360000" cy="25345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1554480</xdr:colOff>
      <xdr:row>54</xdr:row>
      <xdr:rowOff>810814</xdr:rowOff>
    </xdr:from>
    <xdr:to>
      <xdr:col>1</xdr:col>
      <xdr:colOff>1914480</xdr:colOff>
      <xdr:row>54</xdr:row>
      <xdr:rowOff>1064266</xdr:rowOff>
    </xdr:to>
    <xdr:sp macro="" textlink="">
      <xdr:nvSpPr>
        <xdr:cNvPr id="42" name="Flèche droite 7">
          <a:extLst>
            <a:ext uri="{FF2B5EF4-FFF2-40B4-BE49-F238E27FC236}">
              <a16:creationId xmlns:a16="http://schemas.microsoft.com/office/drawing/2014/main" id="{00000000-0008-0000-0100-00002A000000}"/>
            </a:ext>
          </a:extLst>
        </xdr:cNvPr>
        <xdr:cNvSpPr/>
      </xdr:nvSpPr>
      <xdr:spPr>
        <a:xfrm>
          <a:off x="3596640" y="20470414"/>
          <a:ext cx="360000" cy="25345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1554480</xdr:colOff>
      <xdr:row>58</xdr:row>
      <xdr:rowOff>893694</xdr:rowOff>
    </xdr:from>
    <xdr:to>
      <xdr:col>1</xdr:col>
      <xdr:colOff>1914480</xdr:colOff>
      <xdr:row>58</xdr:row>
      <xdr:rowOff>1147146</xdr:rowOff>
    </xdr:to>
    <xdr:sp macro="" textlink="">
      <xdr:nvSpPr>
        <xdr:cNvPr id="43" name="Flèche droite 7">
          <a:extLst>
            <a:ext uri="{FF2B5EF4-FFF2-40B4-BE49-F238E27FC236}">
              <a16:creationId xmlns:a16="http://schemas.microsoft.com/office/drawing/2014/main" id="{00000000-0008-0000-0100-00002B000000}"/>
            </a:ext>
          </a:extLst>
        </xdr:cNvPr>
        <xdr:cNvSpPr/>
      </xdr:nvSpPr>
      <xdr:spPr>
        <a:xfrm>
          <a:off x="3596640" y="23326974"/>
          <a:ext cx="360000" cy="25345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1554480</xdr:colOff>
      <xdr:row>62</xdr:row>
      <xdr:rowOff>785855</xdr:rowOff>
    </xdr:from>
    <xdr:to>
      <xdr:col>1</xdr:col>
      <xdr:colOff>1914480</xdr:colOff>
      <xdr:row>62</xdr:row>
      <xdr:rowOff>1039307</xdr:rowOff>
    </xdr:to>
    <xdr:sp macro="" textlink="">
      <xdr:nvSpPr>
        <xdr:cNvPr id="44" name="Flèche droite 7">
          <a:extLst>
            <a:ext uri="{FF2B5EF4-FFF2-40B4-BE49-F238E27FC236}">
              <a16:creationId xmlns:a16="http://schemas.microsoft.com/office/drawing/2014/main" id="{00000000-0008-0000-0100-00002C000000}"/>
            </a:ext>
          </a:extLst>
        </xdr:cNvPr>
        <xdr:cNvSpPr/>
      </xdr:nvSpPr>
      <xdr:spPr>
        <a:xfrm>
          <a:off x="3596640" y="25901375"/>
          <a:ext cx="360000" cy="25345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1554480</xdr:colOff>
      <xdr:row>66</xdr:row>
      <xdr:rowOff>786013</xdr:rowOff>
    </xdr:from>
    <xdr:to>
      <xdr:col>1</xdr:col>
      <xdr:colOff>1914480</xdr:colOff>
      <xdr:row>66</xdr:row>
      <xdr:rowOff>1039465</xdr:rowOff>
    </xdr:to>
    <xdr:sp macro="" textlink="">
      <xdr:nvSpPr>
        <xdr:cNvPr id="45" name="Flèche droite 7">
          <a:extLst>
            <a:ext uri="{FF2B5EF4-FFF2-40B4-BE49-F238E27FC236}">
              <a16:creationId xmlns:a16="http://schemas.microsoft.com/office/drawing/2014/main" id="{00000000-0008-0000-0100-00002D000000}"/>
            </a:ext>
          </a:extLst>
        </xdr:cNvPr>
        <xdr:cNvSpPr/>
      </xdr:nvSpPr>
      <xdr:spPr>
        <a:xfrm>
          <a:off x="3596640" y="28400893"/>
          <a:ext cx="360000" cy="25345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1554480</xdr:colOff>
      <xdr:row>69</xdr:row>
      <xdr:rowOff>715616</xdr:rowOff>
    </xdr:from>
    <xdr:to>
      <xdr:col>1</xdr:col>
      <xdr:colOff>1914480</xdr:colOff>
      <xdr:row>69</xdr:row>
      <xdr:rowOff>969068</xdr:rowOff>
    </xdr:to>
    <xdr:sp macro="" textlink="">
      <xdr:nvSpPr>
        <xdr:cNvPr id="46" name="Flèche droite 7">
          <a:extLst>
            <a:ext uri="{FF2B5EF4-FFF2-40B4-BE49-F238E27FC236}">
              <a16:creationId xmlns:a16="http://schemas.microsoft.com/office/drawing/2014/main" id="{00000000-0008-0000-0100-00002E000000}"/>
            </a:ext>
          </a:extLst>
        </xdr:cNvPr>
        <xdr:cNvSpPr/>
      </xdr:nvSpPr>
      <xdr:spPr>
        <a:xfrm>
          <a:off x="3596640" y="30799376"/>
          <a:ext cx="360000" cy="25345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editAs="oneCell">
    <xdr:from>
      <xdr:col>4</xdr:col>
      <xdr:colOff>0</xdr:colOff>
      <xdr:row>39</xdr:row>
      <xdr:rowOff>0</xdr:rowOff>
    </xdr:from>
    <xdr:to>
      <xdr:col>5</xdr:col>
      <xdr:colOff>254372</xdr:colOff>
      <xdr:row>39</xdr:row>
      <xdr:rowOff>231774</xdr:rowOff>
    </xdr:to>
    <xdr:pic>
      <xdr:nvPicPr>
        <xdr:cNvPr id="47" name="Image 46">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2"/>
        <a:stretch>
          <a:fillRect/>
        </a:stretch>
      </xdr:blipFill>
      <xdr:spPr>
        <a:xfrm>
          <a:off x="6263640" y="9624060"/>
          <a:ext cx="254372" cy="231774"/>
        </a:xfrm>
        <a:prstGeom prst="rect">
          <a:avLst/>
        </a:prstGeom>
      </xdr:spPr>
    </xdr:pic>
    <xdr:clientData/>
  </xdr:twoCellAnchor>
  <xdr:twoCellAnchor>
    <xdr:from>
      <xdr:col>1</xdr:col>
      <xdr:colOff>0</xdr:colOff>
      <xdr:row>78</xdr:row>
      <xdr:rowOff>1</xdr:rowOff>
    </xdr:from>
    <xdr:to>
      <xdr:col>2</xdr:col>
      <xdr:colOff>0</xdr:colOff>
      <xdr:row>81</xdr:row>
      <xdr:rowOff>0</xdr:rowOff>
    </xdr:to>
    <xdr:sp macro="" textlink="">
      <xdr:nvSpPr>
        <xdr:cNvPr id="10" name="Rectangle : coins arrondis 9" descr="Retour à la Présentation">
          <a:hlinkClick xmlns:r="http://schemas.openxmlformats.org/officeDocument/2006/relationships" r:id="rId4"/>
          <a:extLst>
            <a:ext uri="{FF2B5EF4-FFF2-40B4-BE49-F238E27FC236}">
              <a16:creationId xmlns:a16="http://schemas.microsoft.com/office/drawing/2014/main" id="{00000000-0008-0000-0100-00000A000000}"/>
            </a:ext>
          </a:extLst>
        </xdr:cNvPr>
        <xdr:cNvSpPr/>
      </xdr:nvSpPr>
      <xdr:spPr>
        <a:xfrm>
          <a:off x="2034540" y="32674561"/>
          <a:ext cx="2110740" cy="525779"/>
        </a:xfrm>
        <a:prstGeom prst="roundRect">
          <a:avLst/>
        </a:prstGeom>
        <a:solidFill>
          <a:srgbClr val="74B4B9"/>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rgbClr val="000000"/>
              </a:solidFill>
              <a:latin typeface="+mn-lt"/>
              <a:ea typeface="+mn-ea"/>
              <a:cs typeface="+mn-cs"/>
            </a:rPr>
            <a:t>Retour à la Présentation</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76200</xdr:colOff>
      <xdr:row>0</xdr:row>
      <xdr:rowOff>38100</xdr:rowOff>
    </xdr:from>
    <xdr:ext cx="1358900" cy="736600"/>
    <xdr:pic>
      <xdr:nvPicPr>
        <xdr:cNvPr id="2" name="logo_teluq_nb.eps" descr="Logo de l'Université TÉLUQ.">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38100"/>
          <a:ext cx="1358900" cy="736600"/>
        </a:xfrm>
        <a:prstGeom prst="rect">
          <a:avLst/>
        </a:prstGeom>
      </xdr:spPr>
    </xdr:pic>
    <xdr:clientData/>
  </xdr:oneCellAnchor>
  <xdr:twoCellAnchor>
    <xdr:from>
      <xdr:col>0</xdr:col>
      <xdr:colOff>0</xdr:colOff>
      <xdr:row>4</xdr:row>
      <xdr:rowOff>0</xdr:rowOff>
    </xdr:from>
    <xdr:to>
      <xdr:col>8</xdr:col>
      <xdr:colOff>1937657</xdr:colOff>
      <xdr:row>11</xdr:row>
      <xdr:rowOff>114300</xdr:rowOff>
    </xdr:to>
    <xdr:sp macro="" textlink="">
      <xdr:nvSpPr>
        <xdr:cNvPr id="3" name="Text Box 12">
          <a:extLst>
            <a:ext uri="{FF2B5EF4-FFF2-40B4-BE49-F238E27FC236}">
              <a16:creationId xmlns:a16="http://schemas.microsoft.com/office/drawing/2014/main" id="{00000000-0008-0000-0300-000003000000}"/>
            </a:ext>
          </a:extLst>
        </xdr:cNvPr>
        <xdr:cNvSpPr txBox="1">
          <a:spLocks noChangeArrowheads="1"/>
        </xdr:cNvSpPr>
      </xdr:nvSpPr>
      <xdr:spPr bwMode="auto">
        <a:xfrm>
          <a:off x="0" y="1001486"/>
          <a:ext cx="14554200" cy="1333500"/>
        </a:xfrm>
        <a:prstGeom prst="rect">
          <a:avLst/>
        </a:prstGeom>
        <a:solidFill>
          <a:srgbClr val="F7B8B3"/>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a:r>
            <a:rPr lang="en-US" sz="1800" b="1" i="0" u="none" strike="noStrike" cap="all" baseline="0">
              <a:solidFill>
                <a:srgbClr val="000000"/>
              </a:solidFill>
              <a:effectLst/>
              <a:latin typeface="Arial"/>
              <a:ea typeface="+mn-ea"/>
              <a:cs typeface="Arial"/>
            </a:rPr>
            <a:t>COMPÉTENCE FONDATRICE</a:t>
          </a:r>
        </a:p>
        <a:p>
          <a:pPr marL="0" indent="0" algn="l"/>
          <a:endParaRPr lang="en-US" sz="1200" b="1" i="0" u="none" strike="noStrike" baseline="0">
            <a:solidFill>
              <a:srgbClr val="000000"/>
            </a:solidFill>
            <a:effectLst/>
            <a:latin typeface="Arial"/>
            <a:ea typeface="+mn-ea"/>
            <a:cs typeface="Arial"/>
          </a:endParaRPr>
        </a:p>
        <a:p>
          <a:pPr algn="l"/>
          <a:r>
            <a:rPr lang="en-US" sz="1400" b="1" i="0" u="none" strike="noStrike" baseline="0">
              <a:solidFill>
                <a:srgbClr val="000000"/>
              </a:solidFill>
              <a:effectLst/>
              <a:latin typeface="Arial"/>
              <a:ea typeface="+mn-ea"/>
              <a:cs typeface="Arial"/>
            </a:rPr>
            <a:t>Compétence 2 : </a:t>
          </a:r>
          <a:r>
            <a:rPr lang="fr-CA" sz="1400" b="1">
              <a:solidFill>
                <a:srgbClr val="000000"/>
              </a:solidFill>
              <a:effectLst/>
              <a:latin typeface="+mn-lt"/>
              <a:ea typeface="+mn-ea"/>
              <a:cs typeface="+mn-cs"/>
            </a:rPr>
            <a:t>Maîtriser la langue d’enseignement</a:t>
          </a:r>
        </a:p>
        <a:p>
          <a:pPr algn="l"/>
          <a:r>
            <a:rPr lang="fr-FR" sz="1400" i="1">
              <a:solidFill>
                <a:srgbClr val="000000"/>
              </a:solidFill>
              <a:effectLst/>
              <a:latin typeface="+mn-lt"/>
              <a:ea typeface="+mn-ea"/>
              <a:cs typeface="+mn-cs"/>
            </a:rPr>
            <a:t>Communiquer de manière appropriée dans la langue d’enseignement, à l’oral et à l’écrit, dans l’ensemble des contextes liés à l’exercice de ses fonctions.</a:t>
          </a:r>
          <a:endParaRPr lang="fr-CA" sz="1400" b="1" i="0" u="dbl" strike="noStrike" baseline="0">
            <a:solidFill>
              <a:srgbClr val="000000"/>
            </a:solidFill>
            <a:effectLst/>
            <a:latin typeface="Arial"/>
            <a:ea typeface="+mn-ea"/>
            <a:cs typeface="Arial"/>
          </a:endParaRPr>
        </a:p>
      </xdr:txBody>
    </xdr:sp>
    <xdr:clientData fPrintsWithSheet="0"/>
  </xdr:twoCellAnchor>
  <xdr:twoCellAnchor editAs="oneCell">
    <xdr:from>
      <xdr:col>5</xdr:col>
      <xdr:colOff>1960245</xdr:colOff>
      <xdr:row>23</xdr:row>
      <xdr:rowOff>26579</xdr:rowOff>
    </xdr:from>
    <xdr:to>
      <xdr:col>6</xdr:col>
      <xdr:colOff>110308</xdr:colOff>
      <xdr:row>23</xdr:row>
      <xdr:rowOff>271237</xdr:rowOff>
    </xdr:to>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stretch>
          <a:fillRect/>
        </a:stretch>
      </xdr:blipFill>
      <xdr:spPr>
        <a:xfrm>
          <a:off x="8010525" y="5733959"/>
          <a:ext cx="260803" cy="244658"/>
        </a:xfrm>
        <a:prstGeom prst="rect">
          <a:avLst/>
        </a:prstGeom>
      </xdr:spPr>
    </xdr:pic>
    <xdr:clientData/>
  </xdr:twoCellAnchor>
  <xdr:twoCellAnchor editAs="oneCell">
    <xdr:from>
      <xdr:col>8</xdr:col>
      <xdr:colOff>841374</xdr:colOff>
      <xdr:row>4</xdr:row>
      <xdr:rowOff>55336</xdr:rowOff>
    </xdr:from>
    <xdr:to>
      <xdr:col>8</xdr:col>
      <xdr:colOff>1523999</xdr:colOff>
      <xdr:row>8</xdr:row>
      <xdr:rowOff>71428</xdr:rowOff>
    </xdr:to>
    <xdr:pic>
      <xdr:nvPicPr>
        <xdr:cNvPr id="8" name="Imag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3"/>
        <a:stretch>
          <a:fillRect/>
        </a:stretch>
      </xdr:blipFill>
      <xdr:spPr>
        <a:xfrm>
          <a:off x="14677117" y="1067707"/>
          <a:ext cx="682625" cy="712778"/>
        </a:xfrm>
        <a:prstGeom prst="rect">
          <a:avLst/>
        </a:prstGeom>
      </xdr:spPr>
    </xdr:pic>
    <xdr:clientData/>
  </xdr:twoCellAnchor>
  <xdr:twoCellAnchor>
    <xdr:from>
      <xdr:col>0</xdr:col>
      <xdr:colOff>117020</xdr:colOff>
      <xdr:row>45</xdr:row>
      <xdr:rowOff>227940</xdr:rowOff>
    </xdr:from>
    <xdr:to>
      <xdr:col>1</xdr:col>
      <xdr:colOff>1528220</xdr:colOff>
      <xdr:row>46</xdr:row>
      <xdr:rowOff>2443140</xdr:rowOff>
    </xdr:to>
    <xdr:sp macro="" textlink="">
      <xdr:nvSpPr>
        <xdr:cNvPr id="83" name="Text Box 12">
          <a:extLst>
            <a:ext uri="{FF2B5EF4-FFF2-40B4-BE49-F238E27FC236}">
              <a16:creationId xmlns:a16="http://schemas.microsoft.com/office/drawing/2014/main" id="{00000000-0008-0000-0300-000053000000}"/>
            </a:ext>
          </a:extLst>
        </xdr:cNvPr>
        <xdr:cNvSpPr txBox="1">
          <a:spLocks noChangeArrowheads="1"/>
        </xdr:cNvSpPr>
      </xdr:nvSpPr>
      <xdr:spPr bwMode="auto">
        <a:xfrm>
          <a:off x="117020" y="14279220"/>
          <a:ext cx="3240000" cy="2520000"/>
        </a:xfrm>
        <a:prstGeom prst="rect">
          <a:avLst/>
        </a:prstGeom>
        <a:solidFill>
          <a:srgbClr val="F7B8B3"/>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B</a:t>
          </a:r>
          <a:endParaRPr lang="fr-CA" sz="1200">
            <a:solidFill>
              <a:srgbClr val="000000"/>
            </a:solidFill>
            <a:effectLst/>
          </a:endParaRPr>
        </a:p>
        <a:p>
          <a:endParaRPr lang="fr-CA" sz="1100">
            <a:solidFill>
              <a:srgbClr val="000000"/>
            </a:solidFill>
            <a:effectLst/>
            <a:latin typeface="+mn-lt"/>
            <a:ea typeface="+mn-ea"/>
            <a:cs typeface="+mn-cs"/>
          </a:endParaRPr>
        </a:p>
        <a:p>
          <a:r>
            <a:rPr lang="fr-CA" sz="1100">
              <a:solidFill>
                <a:srgbClr val="000000"/>
              </a:solidFill>
              <a:effectLst/>
              <a:latin typeface="+mn-lt"/>
              <a:ea typeface="+mn-ea"/>
              <a:cs typeface="+mn-cs"/>
            </a:rPr>
            <a:t>Démontrer la capacité de soutenir ses idées de manière cohérente, intelligible, critique et respectueuse dans ses communications, à l’oral comme à l’écrit.</a:t>
          </a:r>
          <a:r>
            <a:rPr lang="fr-CA">
              <a:solidFill>
                <a:srgbClr val="000000"/>
              </a:solidFill>
              <a:effectLst/>
            </a:rPr>
            <a:t> </a:t>
          </a:r>
          <a:endParaRPr lang="fr-CA" sz="1100">
            <a:solidFill>
              <a:srgbClr val="000000"/>
            </a:solidFill>
            <a:effectLst/>
            <a:latin typeface="+mn-lt"/>
            <a:ea typeface="+mn-ea"/>
            <a:cs typeface="+mn-cs"/>
          </a:endParaRPr>
        </a:p>
      </xdr:txBody>
    </xdr:sp>
    <xdr:clientData fPrintsWithSheet="0"/>
  </xdr:twoCellAnchor>
  <xdr:twoCellAnchor>
    <xdr:from>
      <xdr:col>0</xdr:col>
      <xdr:colOff>117020</xdr:colOff>
      <xdr:row>42</xdr:row>
      <xdr:rowOff>21772</xdr:rowOff>
    </xdr:from>
    <xdr:to>
      <xdr:col>1</xdr:col>
      <xdr:colOff>1528220</xdr:colOff>
      <xdr:row>43</xdr:row>
      <xdr:rowOff>11932</xdr:rowOff>
    </xdr:to>
    <xdr:sp macro="" textlink="">
      <xdr:nvSpPr>
        <xdr:cNvPr id="85" name="Text Box 12">
          <a:extLst>
            <a:ext uri="{FF2B5EF4-FFF2-40B4-BE49-F238E27FC236}">
              <a16:creationId xmlns:a16="http://schemas.microsoft.com/office/drawing/2014/main" id="{00000000-0008-0000-0300-000055000000}"/>
            </a:ext>
          </a:extLst>
        </xdr:cNvPr>
        <xdr:cNvSpPr txBox="1">
          <a:spLocks noChangeArrowheads="1"/>
        </xdr:cNvSpPr>
      </xdr:nvSpPr>
      <xdr:spPr bwMode="auto">
        <a:xfrm>
          <a:off x="117020" y="11116492"/>
          <a:ext cx="3240000" cy="2520000"/>
        </a:xfrm>
        <a:prstGeom prst="rect">
          <a:avLst/>
        </a:prstGeom>
        <a:solidFill>
          <a:srgbClr val="F7B8B3"/>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pPr marL="0" indent="0"/>
          <a:r>
            <a:rPr lang="fr-CA" sz="1200" b="1" i="0" u="dbl" strike="noStrike" baseline="0">
              <a:solidFill>
                <a:srgbClr val="000000"/>
              </a:solidFill>
              <a:effectLst/>
              <a:latin typeface="Arial"/>
              <a:ea typeface="+mn-ea"/>
              <a:cs typeface="Arial"/>
            </a:rPr>
            <a:t>Dimension A</a:t>
          </a:r>
        </a:p>
        <a:p>
          <a:pPr marL="0" indent="0"/>
          <a:endParaRPr lang="fr-FR"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Maîtriser les règles et les usages de la langue orale, écrite et illustrée dans l’ensemble de ses communications avec la communauté.</a:t>
          </a:r>
          <a:r>
            <a:rPr lang="fr-CA">
              <a:solidFill>
                <a:srgbClr val="000000"/>
              </a:solidFill>
              <a:effectLst/>
            </a:rPr>
            <a:t> </a:t>
          </a:r>
          <a:endParaRPr lang="fr-CA" sz="1100">
            <a:solidFill>
              <a:srgbClr val="000000"/>
            </a:solidFill>
            <a:effectLst/>
            <a:latin typeface="+mn-lt"/>
            <a:ea typeface="+mn-ea"/>
            <a:cs typeface="+mn-cs"/>
          </a:endParaRPr>
        </a:p>
        <a:p>
          <a:pPr lvl="0"/>
          <a:endParaRPr lang="fr-CA" sz="1100">
            <a:solidFill>
              <a:srgbClr val="000000"/>
            </a:solidFill>
            <a:effectLst/>
            <a:latin typeface="+mn-lt"/>
            <a:ea typeface="+mn-ea"/>
            <a:cs typeface="+mn-cs"/>
          </a:endParaRPr>
        </a:p>
      </xdr:txBody>
    </xdr:sp>
    <xdr:clientData fPrintsWithSheet="0"/>
  </xdr:twoCellAnchor>
  <xdr:twoCellAnchor>
    <xdr:from>
      <xdr:col>0</xdr:col>
      <xdr:colOff>117020</xdr:colOff>
      <xdr:row>49</xdr:row>
      <xdr:rowOff>98828</xdr:rowOff>
    </xdr:from>
    <xdr:to>
      <xdr:col>1</xdr:col>
      <xdr:colOff>1528220</xdr:colOff>
      <xdr:row>50</xdr:row>
      <xdr:rowOff>2435948</xdr:rowOff>
    </xdr:to>
    <xdr:sp macro="" textlink="">
      <xdr:nvSpPr>
        <xdr:cNvPr id="89" name="Text Box 12">
          <a:extLst>
            <a:ext uri="{FF2B5EF4-FFF2-40B4-BE49-F238E27FC236}">
              <a16:creationId xmlns:a16="http://schemas.microsoft.com/office/drawing/2014/main" id="{00000000-0008-0000-0300-000059000000}"/>
            </a:ext>
          </a:extLst>
        </xdr:cNvPr>
        <xdr:cNvSpPr txBox="1">
          <a:spLocks noChangeArrowheads="1"/>
        </xdr:cNvSpPr>
      </xdr:nvSpPr>
      <xdr:spPr bwMode="auto">
        <a:xfrm>
          <a:off x="117020" y="17441948"/>
          <a:ext cx="3240000" cy="2520000"/>
        </a:xfrm>
        <a:prstGeom prst="rect">
          <a:avLst/>
        </a:prstGeom>
        <a:solidFill>
          <a:srgbClr val="F7B8B3"/>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C</a:t>
          </a:r>
          <a:endParaRPr lang="fr-CA" sz="1200">
            <a:solidFill>
              <a:srgbClr val="000000"/>
            </a:solidFill>
            <a:effectLst/>
          </a:endParaRPr>
        </a:p>
        <a:p>
          <a:endParaRPr lang="fr-CA" sz="1100">
            <a:solidFill>
              <a:srgbClr val="000000"/>
            </a:solidFill>
            <a:effectLst/>
            <a:latin typeface="+mn-lt"/>
            <a:ea typeface="+mn-ea"/>
            <a:cs typeface="+mn-cs"/>
          </a:endParaRPr>
        </a:p>
        <a:p>
          <a:r>
            <a:rPr lang="fr-CA" sz="1100">
              <a:solidFill>
                <a:srgbClr val="000000"/>
              </a:solidFill>
              <a:effectLst/>
              <a:latin typeface="+mn-lt"/>
              <a:ea typeface="+mn-ea"/>
              <a:cs typeface="+mn-cs"/>
            </a:rPr>
            <a:t>Employer un registre de langue approprié dans ses interventions auprès des élèves, des parents et de ses pairs.</a:t>
          </a:r>
          <a:r>
            <a:rPr lang="fr-CA">
              <a:solidFill>
                <a:srgbClr val="000000"/>
              </a:solidFill>
              <a:effectLst/>
            </a:rPr>
            <a:t> </a:t>
          </a:r>
          <a:endParaRPr lang="fr-CA" sz="1100">
            <a:solidFill>
              <a:srgbClr val="000000"/>
            </a:solidFill>
            <a:effectLst/>
            <a:latin typeface="+mn-lt"/>
            <a:ea typeface="+mn-ea"/>
            <a:cs typeface="+mn-cs"/>
          </a:endParaRPr>
        </a:p>
      </xdr:txBody>
    </xdr:sp>
    <xdr:clientData fPrintsWithSheet="0"/>
  </xdr:twoCellAnchor>
  <xdr:twoCellAnchor>
    <xdr:from>
      <xdr:col>0</xdr:col>
      <xdr:colOff>117020</xdr:colOff>
      <xdr:row>54</xdr:row>
      <xdr:rowOff>196</xdr:rowOff>
    </xdr:from>
    <xdr:to>
      <xdr:col>1</xdr:col>
      <xdr:colOff>1528220</xdr:colOff>
      <xdr:row>54</xdr:row>
      <xdr:rowOff>2520196</xdr:rowOff>
    </xdr:to>
    <xdr:sp macro="" textlink="">
      <xdr:nvSpPr>
        <xdr:cNvPr id="90" name="Text Box 12">
          <a:extLst>
            <a:ext uri="{FF2B5EF4-FFF2-40B4-BE49-F238E27FC236}">
              <a16:creationId xmlns:a16="http://schemas.microsoft.com/office/drawing/2014/main" id="{00000000-0008-0000-0300-00005A000000}"/>
            </a:ext>
          </a:extLst>
        </xdr:cNvPr>
        <xdr:cNvSpPr txBox="1">
          <a:spLocks noChangeArrowheads="1"/>
        </xdr:cNvSpPr>
      </xdr:nvSpPr>
      <xdr:spPr bwMode="auto">
        <a:xfrm>
          <a:off x="117020" y="20604676"/>
          <a:ext cx="3240000" cy="2520000"/>
        </a:xfrm>
        <a:prstGeom prst="rect">
          <a:avLst/>
        </a:prstGeom>
        <a:solidFill>
          <a:srgbClr val="F7B8B3"/>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D</a:t>
          </a:r>
          <a:endParaRPr lang="fr-CA" sz="1200">
            <a:solidFill>
              <a:srgbClr val="000000"/>
            </a:solidFill>
            <a:effectLst/>
          </a:endParaRPr>
        </a:p>
        <a:p>
          <a:endParaRPr lang="fr-CA" sz="1100">
            <a:solidFill>
              <a:srgbClr val="000000"/>
            </a:solidFill>
            <a:effectLst/>
            <a:latin typeface="+mn-lt"/>
            <a:ea typeface="+mn-ea"/>
            <a:cs typeface="+mn-cs"/>
          </a:endParaRPr>
        </a:p>
        <a:p>
          <a:r>
            <a:rPr lang="fr-FR" sz="1100">
              <a:solidFill>
                <a:srgbClr val="000000"/>
              </a:solidFill>
              <a:effectLst/>
              <a:latin typeface="+mn-lt"/>
              <a:ea typeface="+mn-ea"/>
              <a:cs typeface="+mn-cs"/>
            </a:rPr>
            <a:t>Intégrer, dans la planification de son enseignement, des outils visant à promouvoir la langue d’enseignement comme objet de culture.</a:t>
          </a:r>
          <a:endParaRPr lang="fr-CA" sz="1100">
            <a:solidFill>
              <a:srgbClr val="000000"/>
            </a:solidFill>
            <a:effectLst/>
            <a:latin typeface="+mn-lt"/>
            <a:ea typeface="+mn-ea"/>
            <a:cs typeface="+mn-cs"/>
          </a:endParaRPr>
        </a:p>
      </xdr:txBody>
    </xdr:sp>
    <xdr:clientData fPrintsWithSheet="0"/>
  </xdr:twoCellAnchor>
  <xdr:twoCellAnchor>
    <xdr:from>
      <xdr:col>0</xdr:col>
      <xdr:colOff>117020</xdr:colOff>
      <xdr:row>58</xdr:row>
      <xdr:rowOff>23484</xdr:rowOff>
    </xdr:from>
    <xdr:to>
      <xdr:col>1</xdr:col>
      <xdr:colOff>1528220</xdr:colOff>
      <xdr:row>59</xdr:row>
      <xdr:rowOff>44124</xdr:rowOff>
    </xdr:to>
    <xdr:sp macro="" textlink="">
      <xdr:nvSpPr>
        <xdr:cNvPr id="91" name="Text Box 12">
          <a:extLst>
            <a:ext uri="{FF2B5EF4-FFF2-40B4-BE49-F238E27FC236}">
              <a16:creationId xmlns:a16="http://schemas.microsoft.com/office/drawing/2014/main" id="{00000000-0008-0000-0300-00005B000000}"/>
            </a:ext>
          </a:extLst>
        </xdr:cNvPr>
        <xdr:cNvSpPr txBox="1">
          <a:spLocks noChangeArrowheads="1"/>
        </xdr:cNvSpPr>
      </xdr:nvSpPr>
      <xdr:spPr bwMode="auto">
        <a:xfrm>
          <a:off x="117020" y="23767404"/>
          <a:ext cx="3240000" cy="2520000"/>
        </a:xfrm>
        <a:prstGeom prst="rect">
          <a:avLst/>
        </a:prstGeom>
        <a:solidFill>
          <a:srgbClr val="F7B8B3"/>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E</a:t>
          </a:r>
          <a:endParaRPr lang="fr-CA" sz="1200">
            <a:solidFill>
              <a:srgbClr val="000000"/>
            </a:solidFill>
            <a:effectLst/>
          </a:endParaRPr>
        </a:p>
        <a:p>
          <a:endParaRPr lang="fr-CA" sz="1100">
            <a:solidFill>
              <a:srgbClr val="000000"/>
            </a:solidFill>
            <a:effectLst/>
            <a:latin typeface="+mn-lt"/>
            <a:ea typeface="+mn-ea"/>
            <a:cs typeface="+mn-cs"/>
          </a:endParaRPr>
        </a:p>
        <a:p>
          <a:r>
            <a:rPr lang="fr-CA" sz="1100">
              <a:solidFill>
                <a:srgbClr val="000000"/>
              </a:solidFill>
              <a:effectLst/>
              <a:latin typeface="+mn-lt"/>
              <a:ea typeface="+mn-ea"/>
              <a:cs typeface="+mn-cs"/>
            </a:rPr>
            <a:t>Recourir aux différents modes d’expression de la langue (visuel, spatial, sonore et gestuel) pour soutenir le développement des compétences langagières des élèves.</a:t>
          </a:r>
          <a:r>
            <a:rPr lang="fr-CA">
              <a:solidFill>
                <a:srgbClr val="000000"/>
              </a:solidFill>
              <a:effectLst/>
            </a:rPr>
            <a:t> </a:t>
          </a:r>
          <a:endParaRPr lang="fr-CA" sz="1100">
            <a:solidFill>
              <a:srgbClr val="000000"/>
            </a:solidFill>
            <a:effectLst/>
            <a:latin typeface="+mn-lt"/>
            <a:ea typeface="+mn-ea"/>
            <a:cs typeface="+mn-cs"/>
          </a:endParaRPr>
        </a:p>
      </xdr:txBody>
    </xdr:sp>
    <xdr:clientData fPrintsWithSheet="0"/>
  </xdr:twoCellAnchor>
  <xdr:twoCellAnchor>
    <xdr:from>
      <xdr:col>0</xdr:col>
      <xdr:colOff>117020</xdr:colOff>
      <xdr:row>62</xdr:row>
      <xdr:rowOff>107732</xdr:rowOff>
    </xdr:from>
    <xdr:to>
      <xdr:col>1</xdr:col>
      <xdr:colOff>1528220</xdr:colOff>
      <xdr:row>62</xdr:row>
      <xdr:rowOff>2627732</xdr:rowOff>
    </xdr:to>
    <xdr:sp macro="" textlink="">
      <xdr:nvSpPr>
        <xdr:cNvPr id="92" name="Text Box 12">
          <a:extLst>
            <a:ext uri="{FF2B5EF4-FFF2-40B4-BE49-F238E27FC236}">
              <a16:creationId xmlns:a16="http://schemas.microsoft.com/office/drawing/2014/main" id="{00000000-0008-0000-0300-00005C000000}"/>
            </a:ext>
          </a:extLst>
        </xdr:cNvPr>
        <xdr:cNvSpPr txBox="1">
          <a:spLocks noChangeArrowheads="1"/>
        </xdr:cNvSpPr>
      </xdr:nvSpPr>
      <xdr:spPr bwMode="auto">
        <a:xfrm>
          <a:off x="117020" y="26930132"/>
          <a:ext cx="3240000" cy="2520000"/>
        </a:xfrm>
        <a:prstGeom prst="rect">
          <a:avLst/>
        </a:prstGeom>
        <a:solidFill>
          <a:srgbClr val="F7B8B3"/>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F</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Prendre appui sur la langue maternelle des élèves et la valoriser pour favoriser l’acquisition de la langue d’enseignement. </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117020</xdr:colOff>
      <xdr:row>65</xdr:row>
      <xdr:rowOff>161500</xdr:rowOff>
    </xdr:from>
    <xdr:to>
      <xdr:col>1</xdr:col>
      <xdr:colOff>1528220</xdr:colOff>
      <xdr:row>66</xdr:row>
      <xdr:rowOff>2468140</xdr:rowOff>
    </xdr:to>
    <xdr:sp macro="" textlink="">
      <xdr:nvSpPr>
        <xdr:cNvPr id="93" name="Text Box 12">
          <a:extLst>
            <a:ext uri="{FF2B5EF4-FFF2-40B4-BE49-F238E27FC236}">
              <a16:creationId xmlns:a16="http://schemas.microsoft.com/office/drawing/2014/main" id="{00000000-0008-0000-0300-00005D000000}"/>
            </a:ext>
          </a:extLst>
        </xdr:cNvPr>
        <xdr:cNvSpPr txBox="1">
          <a:spLocks noChangeArrowheads="1"/>
        </xdr:cNvSpPr>
      </xdr:nvSpPr>
      <xdr:spPr bwMode="auto">
        <a:xfrm>
          <a:off x="117020" y="30092860"/>
          <a:ext cx="3240000" cy="2520000"/>
        </a:xfrm>
        <a:prstGeom prst="rect">
          <a:avLst/>
        </a:prstGeom>
        <a:solidFill>
          <a:srgbClr val="F7B8B3"/>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G</a:t>
          </a:r>
          <a:endParaRPr lang="fr-CA" sz="1200">
            <a:solidFill>
              <a:srgbClr val="000000"/>
            </a:solidFill>
            <a:effectLst/>
          </a:endParaRPr>
        </a:p>
        <a:p>
          <a:endParaRPr lang="fr-CA" sz="1100">
            <a:solidFill>
              <a:srgbClr val="000000"/>
            </a:solidFill>
            <a:effectLst/>
            <a:latin typeface="+mn-lt"/>
            <a:ea typeface="+mn-ea"/>
            <a:cs typeface="+mn-cs"/>
          </a:endParaRPr>
        </a:p>
        <a:p>
          <a:r>
            <a:rPr lang="fr-CA" sz="1100">
              <a:solidFill>
                <a:srgbClr val="000000"/>
              </a:solidFill>
              <a:effectLst/>
              <a:latin typeface="+mn-lt"/>
              <a:ea typeface="+mn-ea"/>
              <a:cs typeface="+mn-cs"/>
            </a:rPr>
            <a:t>Vérifier la qualité de la langue des élèves, leur offrir une rétroaction fréquente et les amener à se corriger et à développer leur capacité à intégrer les règles et les usages de la langue orale et écrite.</a:t>
          </a:r>
          <a:r>
            <a:rPr lang="fr-CA">
              <a:solidFill>
                <a:srgbClr val="000000"/>
              </a:solidFill>
              <a:effectLst/>
            </a:rPr>
            <a:t> </a:t>
          </a:r>
          <a:endParaRPr lang="fr-CA" sz="1100">
            <a:solidFill>
              <a:srgbClr val="000000"/>
            </a:solidFill>
            <a:effectLst/>
            <a:latin typeface="+mn-lt"/>
            <a:ea typeface="+mn-ea"/>
            <a:cs typeface="+mn-cs"/>
          </a:endParaRPr>
        </a:p>
      </xdr:txBody>
    </xdr:sp>
    <xdr:clientData fPrintsWithSheet="0"/>
  </xdr:twoCellAnchor>
  <xdr:twoCellAnchor>
    <xdr:from>
      <xdr:col>0</xdr:col>
      <xdr:colOff>117020</xdr:colOff>
      <xdr:row>69</xdr:row>
      <xdr:rowOff>123825</xdr:rowOff>
    </xdr:from>
    <xdr:to>
      <xdr:col>1</xdr:col>
      <xdr:colOff>1528220</xdr:colOff>
      <xdr:row>70</xdr:row>
      <xdr:rowOff>2430465</xdr:rowOff>
    </xdr:to>
    <xdr:sp macro="" textlink="">
      <xdr:nvSpPr>
        <xdr:cNvPr id="94" name="Text Box 12">
          <a:extLst>
            <a:ext uri="{FF2B5EF4-FFF2-40B4-BE49-F238E27FC236}">
              <a16:creationId xmlns:a16="http://schemas.microsoft.com/office/drawing/2014/main" id="{00000000-0008-0000-0300-00005E000000}"/>
            </a:ext>
          </a:extLst>
        </xdr:cNvPr>
        <xdr:cNvSpPr txBox="1">
          <a:spLocks noChangeArrowheads="1"/>
        </xdr:cNvSpPr>
      </xdr:nvSpPr>
      <xdr:spPr bwMode="auto">
        <a:xfrm>
          <a:off x="117020" y="33255585"/>
          <a:ext cx="3240000" cy="2520000"/>
        </a:xfrm>
        <a:prstGeom prst="rect">
          <a:avLst/>
        </a:prstGeom>
        <a:solidFill>
          <a:srgbClr val="F7B8B3"/>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H</a:t>
          </a:r>
          <a:endParaRPr lang="fr-CA" sz="1200">
            <a:solidFill>
              <a:srgbClr val="000000"/>
            </a:solidFill>
            <a:effectLst/>
          </a:endParaRPr>
        </a:p>
        <a:p>
          <a:endParaRPr lang="fr-CA" sz="1100">
            <a:solidFill>
              <a:srgbClr val="000000"/>
            </a:solidFill>
            <a:effectLst/>
            <a:latin typeface="+mn-lt"/>
            <a:ea typeface="+mn-ea"/>
            <a:cs typeface="+mn-cs"/>
          </a:endParaRPr>
        </a:p>
        <a:p>
          <a:r>
            <a:rPr lang="fr-CA" sz="1100">
              <a:solidFill>
                <a:srgbClr val="000000"/>
              </a:solidFill>
              <a:effectLst/>
              <a:latin typeface="+mn-lt"/>
              <a:ea typeface="+mn-ea"/>
              <a:cs typeface="+mn-cs"/>
            </a:rPr>
            <a:t>Communiquer de façon claire, précise et constructive les apprentissages effectués et toute autre information servant à soutenir l’élève dans ses apprentissages.</a:t>
          </a:r>
          <a:r>
            <a:rPr lang="fr-CA">
              <a:solidFill>
                <a:srgbClr val="000000"/>
              </a:solidFill>
              <a:effectLst/>
            </a:rPr>
            <a:t> </a:t>
          </a:r>
          <a:endParaRPr lang="fr-CA" sz="1100">
            <a:solidFill>
              <a:srgbClr val="000000"/>
            </a:solidFill>
            <a:effectLst/>
            <a:latin typeface="+mn-lt"/>
            <a:ea typeface="+mn-ea"/>
            <a:cs typeface="+mn-cs"/>
          </a:endParaRPr>
        </a:p>
      </xdr:txBody>
    </xdr:sp>
    <xdr:clientData fPrintsWithSheet="0"/>
  </xdr:twoCellAnchor>
  <xdr:twoCellAnchor>
    <xdr:from>
      <xdr:col>7</xdr:col>
      <xdr:colOff>1041400</xdr:colOff>
      <xdr:row>42</xdr:row>
      <xdr:rowOff>1077441</xdr:rowOff>
    </xdr:from>
    <xdr:to>
      <xdr:col>7</xdr:col>
      <xdr:colOff>1401400</xdr:colOff>
      <xdr:row>42</xdr:row>
      <xdr:rowOff>1327983</xdr:rowOff>
    </xdr:to>
    <xdr:sp macro="" textlink="">
      <xdr:nvSpPr>
        <xdr:cNvPr id="11" name="Flèche droite 7">
          <a:extLst>
            <a:ext uri="{FF2B5EF4-FFF2-40B4-BE49-F238E27FC236}">
              <a16:creationId xmlns:a16="http://schemas.microsoft.com/office/drawing/2014/main" id="{00000000-0008-0000-0300-00000B000000}"/>
            </a:ext>
          </a:extLst>
        </xdr:cNvPr>
        <xdr:cNvSpPr/>
      </xdr:nvSpPr>
      <xdr:spPr>
        <a:xfrm>
          <a:off x="11313160" y="11402541"/>
          <a:ext cx="360000" cy="25054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1041400</xdr:colOff>
      <xdr:row>46</xdr:row>
      <xdr:rowOff>915282</xdr:rowOff>
    </xdr:from>
    <xdr:to>
      <xdr:col>7</xdr:col>
      <xdr:colOff>1401400</xdr:colOff>
      <xdr:row>46</xdr:row>
      <xdr:rowOff>1167268</xdr:rowOff>
    </xdr:to>
    <xdr:sp macro="" textlink="">
      <xdr:nvSpPr>
        <xdr:cNvPr id="12" name="Flèche droite 7">
          <a:extLst>
            <a:ext uri="{FF2B5EF4-FFF2-40B4-BE49-F238E27FC236}">
              <a16:creationId xmlns:a16="http://schemas.microsoft.com/office/drawing/2014/main" id="{00000000-0008-0000-0300-00000C000000}"/>
            </a:ext>
          </a:extLst>
        </xdr:cNvPr>
        <xdr:cNvSpPr/>
      </xdr:nvSpPr>
      <xdr:spPr>
        <a:xfrm>
          <a:off x="11313160" y="14494122"/>
          <a:ext cx="360000" cy="251986"/>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1041400</xdr:colOff>
      <xdr:row>50</xdr:row>
      <xdr:rowOff>1000374</xdr:rowOff>
    </xdr:from>
    <xdr:to>
      <xdr:col>7</xdr:col>
      <xdr:colOff>1401400</xdr:colOff>
      <xdr:row>50</xdr:row>
      <xdr:rowOff>1252360</xdr:rowOff>
    </xdr:to>
    <xdr:sp macro="" textlink="">
      <xdr:nvSpPr>
        <xdr:cNvPr id="10" name="Flèche droite 7">
          <a:extLst>
            <a:ext uri="{FF2B5EF4-FFF2-40B4-BE49-F238E27FC236}">
              <a16:creationId xmlns:a16="http://schemas.microsoft.com/office/drawing/2014/main" id="{00000000-0008-0000-0300-00000A000000}"/>
            </a:ext>
          </a:extLst>
        </xdr:cNvPr>
        <xdr:cNvSpPr/>
      </xdr:nvSpPr>
      <xdr:spPr>
        <a:xfrm>
          <a:off x="11313160" y="17733894"/>
          <a:ext cx="360000" cy="251986"/>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1041400</xdr:colOff>
      <xdr:row>54</xdr:row>
      <xdr:rowOff>1040841</xdr:rowOff>
    </xdr:from>
    <xdr:to>
      <xdr:col>7</xdr:col>
      <xdr:colOff>1401400</xdr:colOff>
      <xdr:row>54</xdr:row>
      <xdr:rowOff>1292827</xdr:rowOff>
    </xdr:to>
    <xdr:sp macro="" textlink="">
      <xdr:nvSpPr>
        <xdr:cNvPr id="13" name="Flèche droite 7">
          <a:extLst>
            <a:ext uri="{FF2B5EF4-FFF2-40B4-BE49-F238E27FC236}">
              <a16:creationId xmlns:a16="http://schemas.microsoft.com/office/drawing/2014/main" id="{00000000-0008-0000-0300-00000D000000}"/>
            </a:ext>
          </a:extLst>
        </xdr:cNvPr>
        <xdr:cNvSpPr/>
      </xdr:nvSpPr>
      <xdr:spPr>
        <a:xfrm>
          <a:off x="11313160" y="20845221"/>
          <a:ext cx="360000" cy="251986"/>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1041400</xdr:colOff>
      <xdr:row>58</xdr:row>
      <xdr:rowOff>1059716</xdr:rowOff>
    </xdr:from>
    <xdr:to>
      <xdr:col>7</xdr:col>
      <xdr:colOff>1401400</xdr:colOff>
      <xdr:row>58</xdr:row>
      <xdr:rowOff>1311702</xdr:rowOff>
    </xdr:to>
    <xdr:sp macro="" textlink="">
      <xdr:nvSpPr>
        <xdr:cNvPr id="14" name="Flèche droite 7">
          <a:extLst>
            <a:ext uri="{FF2B5EF4-FFF2-40B4-BE49-F238E27FC236}">
              <a16:creationId xmlns:a16="http://schemas.microsoft.com/office/drawing/2014/main" id="{00000000-0008-0000-0300-00000E000000}"/>
            </a:ext>
          </a:extLst>
        </xdr:cNvPr>
        <xdr:cNvSpPr/>
      </xdr:nvSpPr>
      <xdr:spPr>
        <a:xfrm>
          <a:off x="11313160" y="23988296"/>
          <a:ext cx="360000" cy="251986"/>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1041400</xdr:colOff>
      <xdr:row>62</xdr:row>
      <xdr:rowOff>1109074</xdr:rowOff>
    </xdr:from>
    <xdr:to>
      <xdr:col>7</xdr:col>
      <xdr:colOff>1401400</xdr:colOff>
      <xdr:row>62</xdr:row>
      <xdr:rowOff>1361060</xdr:rowOff>
    </xdr:to>
    <xdr:sp macro="" textlink="">
      <xdr:nvSpPr>
        <xdr:cNvPr id="15" name="Flèche droite 7">
          <a:extLst>
            <a:ext uri="{FF2B5EF4-FFF2-40B4-BE49-F238E27FC236}">
              <a16:creationId xmlns:a16="http://schemas.microsoft.com/office/drawing/2014/main" id="{00000000-0008-0000-0300-00000F000000}"/>
            </a:ext>
          </a:extLst>
        </xdr:cNvPr>
        <xdr:cNvSpPr/>
      </xdr:nvSpPr>
      <xdr:spPr>
        <a:xfrm>
          <a:off x="11313160" y="27093274"/>
          <a:ext cx="360000" cy="251986"/>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1041400</xdr:colOff>
      <xdr:row>66</xdr:row>
      <xdr:rowOff>1143179</xdr:rowOff>
    </xdr:from>
    <xdr:to>
      <xdr:col>7</xdr:col>
      <xdr:colOff>1401400</xdr:colOff>
      <xdr:row>66</xdr:row>
      <xdr:rowOff>1395165</xdr:rowOff>
    </xdr:to>
    <xdr:sp macro="" textlink="">
      <xdr:nvSpPr>
        <xdr:cNvPr id="16" name="Flèche droite 7">
          <a:extLst>
            <a:ext uri="{FF2B5EF4-FFF2-40B4-BE49-F238E27FC236}">
              <a16:creationId xmlns:a16="http://schemas.microsoft.com/office/drawing/2014/main" id="{00000000-0008-0000-0300-000010000000}"/>
            </a:ext>
          </a:extLst>
        </xdr:cNvPr>
        <xdr:cNvSpPr/>
      </xdr:nvSpPr>
      <xdr:spPr>
        <a:xfrm>
          <a:off x="11313160" y="30426839"/>
          <a:ext cx="360000" cy="251986"/>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1041400</xdr:colOff>
      <xdr:row>70</xdr:row>
      <xdr:rowOff>971563</xdr:rowOff>
    </xdr:from>
    <xdr:to>
      <xdr:col>7</xdr:col>
      <xdr:colOff>1401400</xdr:colOff>
      <xdr:row>70</xdr:row>
      <xdr:rowOff>1223549</xdr:rowOff>
    </xdr:to>
    <xdr:sp macro="" textlink="">
      <xdr:nvSpPr>
        <xdr:cNvPr id="17" name="Flèche droite 7">
          <a:extLst>
            <a:ext uri="{FF2B5EF4-FFF2-40B4-BE49-F238E27FC236}">
              <a16:creationId xmlns:a16="http://schemas.microsoft.com/office/drawing/2014/main" id="{00000000-0008-0000-0300-000011000000}"/>
            </a:ext>
          </a:extLst>
        </xdr:cNvPr>
        <xdr:cNvSpPr/>
      </xdr:nvSpPr>
      <xdr:spPr>
        <a:xfrm>
          <a:off x="11313160" y="33417523"/>
          <a:ext cx="360000" cy="251986"/>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1615440</xdr:colOff>
      <xdr:row>42</xdr:row>
      <xdr:rowOff>1097280</xdr:rowOff>
    </xdr:from>
    <xdr:to>
      <xdr:col>1</xdr:col>
      <xdr:colOff>1975440</xdr:colOff>
      <xdr:row>42</xdr:row>
      <xdr:rowOff>1347822</xdr:rowOff>
    </xdr:to>
    <xdr:sp macro="" textlink="">
      <xdr:nvSpPr>
        <xdr:cNvPr id="41" name="Flèche droite 7">
          <a:extLst>
            <a:ext uri="{FF2B5EF4-FFF2-40B4-BE49-F238E27FC236}">
              <a16:creationId xmlns:a16="http://schemas.microsoft.com/office/drawing/2014/main" id="{00000000-0008-0000-0300-000029000000}"/>
            </a:ext>
          </a:extLst>
        </xdr:cNvPr>
        <xdr:cNvSpPr/>
      </xdr:nvSpPr>
      <xdr:spPr>
        <a:xfrm>
          <a:off x="3444240" y="11422380"/>
          <a:ext cx="360000" cy="25054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1615440</xdr:colOff>
      <xdr:row>46</xdr:row>
      <xdr:rowOff>935121</xdr:rowOff>
    </xdr:from>
    <xdr:to>
      <xdr:col>1</xdr:col>
      <xdr:colOff>1975440</xdr:colOff>
      <xdr:row>46</xdr:row>
      <xdr:rowOff>1187107</xdr:rowOff>
    </xdr:to>
    <xdr:sp macro="" textlink="">
      <xdr:nvSpPr>
        <xdr:cNvPr id="42" name="Flèche droite 7">
          <a:extLst>
            <a:ext uri="{FF2B5EF4-FFF2-40B4-BE49-F238E27FC236}">
              <a16:creationId xmlns:a16="http://schemas.microsoft.com/office/drawing/2014/main" id="{00000000-0008-0000-0300-00002A000000}"/>
            </a:ext>
          </a:extLst>
        </xdr:cNvPr>
        <xdr:cNvSpPr/>
      </xdr:nvSpPr>
      <xdr:spPr>
        <a:xfrm>
          <a:off x="3444240" y="14513961"/>
          <a:ext cx="360000" cy="251986"/>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1615440</xdr:colOff>
      <xdr:row>50</xdr:row>
      <xdr:rowOff>1020213</xdr:rowOff>
    </xdr:from>
    <xdr:to>
      <xdr:col>1</xdr:col>
      <xdr:colOff>1975440</xdr:colOff>
      <xdr:row>50</xdr:row>
      <xdr:rowOff>1272199</xdr:rowOff>
    </xdr:to>
    <xdr:sp macro="" textlink="">
      <xdr:nvSpPr>
        <xdr:cNvPr id="43" name="Flèche droite 7">
          <a:extLst>
            <a:ext uri="{FF2B5EF4-FFF2-40B4-BE49-F238E27FC236}">
              <a16:creationId xmlns:a16="http://schemas.microsoft.com/office/drawing/2014/main" id="{00000000-0008-0000-0300-00002B000000}"/>
            </a:ext>
          </a:extLst>
        </xdr:cNvPr>
        <xdr:cNvSpPr/>
      </xdr:nvSpPr>
      <xdr:spPr>
        <a:xfrm>
          <a:off x="3444240" y="17753733"/>
          <a:ext cx="360000" cy="251986"/>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1615440</xdr:colOff>
      <xdr:row>54</xdr:row>
      <xdr:rowOff>1060680</xdr:rowOff>
    </xdr:from>
    <xdr:to>
      <xdr:col>1</xdr:col>
      <xdr:colOff>1975440</xdr:colOff>
      <xdr:row>54</xdr:row>
      <xdr:rowOff>1312666</xdr:rowOff>
    </xdr:to>
    <xdr:sp macro="" textlink="">
      <xdr:nvSpPr>
        <xdr:cNvPr id="44" name="Flèche droite 7">
          <a:extLst>
            <a:ext uri="{FF2B5EF4-FFF2-40B4-BE49-F238E27FC236}">
              <a16:creationId xmlns:a16="http://schemas.microsoft.com/office/drawing/2014/main" id="{00000000-0008-0000-0300-00002C000000}"/>
            </a:ext>
          </a:extLst>
        </xdr:cNvPr>
        <xdr:cNvSpPr/>
      </xdr:nvSpPr>
      <xdr:spPr>
        <a:xfrm>
          <a:off x="3444240" y="20865060"/>
          <a:ext cx="360000" cy="251986"/>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1615440</xdr:colOff>
      <xdr:row>58</xdr:row>
      <xdr:rowOff>1079555</xdr:rowOff>
    </xdr:from>
    <xdr:to>
      <xdr:col>1</xdr:col>
      <xdr:colOff>1975440</xdr:colOff>
      <xdr:row>58</xdr:row>
      <xdr:rowOff>1331541</xdr:rowOff>
    </xdr:to>
    <xdr:sp macro="" textlink="">
      <xdr:nvSpPr>
        <xdr:cNvPr id="45" name="Flèche droite 7">
          <a:extLst>
            <a:ext uri="{FF2B5EF4-FFF2-40B4-BE49-F238E27FC236}">
              <a16:creationId xmlns:a16="http://schemas.microsoft.com/office/drawing/2014/main" id="{00000000-0008-0000-0300-00002D000000}"/>
            </a:ext>
          </a:extLst>
        </xdr:cNvPr>
        <xdr:cNvSpPr/>
      </xdr:nvSpPr>
      <xdr:spPr>
        <a:xfrm>
          <a:off x="3444240" y="24008135"/>
          <a:ext cx="360000" cy="251986"/>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1615440</xdr:colOff>
      <xdr:row>62</xdr:row>
      <xdr:rowOff>1128913</xdr:rowOff>
    </xdr:from>
    <xdr:to>
      <xdr:col>1</xdr:col>
      <xdr:colOff>1975440</xdr:colOff>
      <xdr:row>62</xdr:row>
      <xdr:rowOff>1380899</xdr:rowOff>
    </xdr:to>
    <xdr:sp macro="" textlink="">
      <xdr:nvSpPr>
        <xdr:cNvPr id="46" name="Flèche droite 7">
          <a:extLst>
            <a:ext uri="{FF2B5EF4-FFF2-40B4-BE49-F238E27FC236}">
              <a16:creationId xmlns:a16="http://schemas.microsoft.com/office/drawing/2014/main" id="{00000000-0008-0000-0300-00002E000000}"/>
            </a:ext>
          </a:extLst>
        </xdr:cNvPr>
        <xdr:cNvSpPr/>
      </xdr:nvSpPr>
      <xdr:spPr>
        <a:xfrm>
          <a:off x="3444240" y="27113113"/>
          <a:ext cx="360000" cy="251986"/>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1615440</xdr:colOff>
      <xdr:row>66</xdr:row>
      <xdr:rowOff>1163018</xdr:rowOff>
    </xdr:from>
    <xdr:to>
      <xdr:col>1</xdr:col>
      <xdr:colOff>1975440</xdr:colOff>
      <xdr:row>66</xdr:row>
      <xdr:rowOff>1415004</xdr:rowOff>
    </xdr:to>
    <xdr:sp macro="" textlink="">
      <xdr:nvSpPr>
        <xdr:cNvPr id="47" name="Flèche droite 7">
          <a:extLst>
            <a:ext uri="{FF2B5EF4-FFF2-40B4-BE49-F238E27FC236}">
              <a16:creationId xmlns:a16="http://schemas.microsoft.com/office/drawing/2014/main" id="{00000000-0008-0000-0300-00002F000000}"/>
            </a:ext>
          </a:extLst>
        </xdr:cNvPr>
        <xdr:cNvSpPr/>
      </xdr:nvSpPr>
      <xdr:spPr>
        <a:xfrm>
          <a:off x="3444240" y="30446678"/>
          <a:ext cx="360000" cy="251986"/>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1615440</xdr:colOff>
      <xdr:row>70</xdr:row>
      <xdr:rowOff>991402</xdr:rowOff>
    </xdr:from>
    <xdr:to>
      <xdr:col>1</xdr:col>
      <xdr:colOff>1975440</xdr:colOff>
      <xdr:row>70</xdr:row>
      <xdr:rowOff>1243388</xdr:rowOff>
    </xdr:to>
    <xdr:sp macro="" textlink="">
      <xdr:nvSpPr>
        <xdr:cNvPr id="48" name="Flèche droite 7">
          <a:extLst>
            <a:ext uri="{FF2B5EF4-FFF2-40B4-BE49-F238E27FC236}">
              <a16:creationId xmlns:a16="http://schemas.microsoft.com/office/drawing/2014/main" id="{00000000-0008-0000-0300-000030000000}"/>
            </a:ext>
          </a:extLst>
        </xdr:cNvPr>
        <xdr:cNvSpPr/>
      </xdr:nvSpPr>
      <xdr:spPr>
        <a:xfrm>
          <a:off x="3444240" y="33437362"/>
          <a:ext cx="360000" cy="251986"/>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editAs="oneCell">
    <xdr:from>
      <xdr:col>4</xdr:col>
      <xdr:colOff>0</xdr:colOff>
      <xdr:row>39</xdr:row>
      <xdr:rowOff>0</xdr:rowOff>
    </xdr:from>
    <xdr:to>
      <xdr:col>5</xdr:col>
      <xdr:colOff>254372</xdr:colOff>
      <xdr:row>39</xdr:row>
      <xdr:rowOff>231774</xdr:rowOff>
    </xdr:to>
    <xdr:pic>
      <xdr:nvPicPr>
        <xdr:cNvPr id="49" name="Image 48">
          <a:extLst>
            <a:ext uri="{FF2B5EF4-FFF2-40B4-BE49-F238E27FC236}">
              <a16:creationId xmlns:a16="http://schemas.microsoft.com/office/drawing/2014/main" id="{00000000-0008-0000-0300-000031000000}"/>
            </a:ext>
          </a:extLst>
        </xdr:cNvPr>
        <xdr:cNvPicPr>
          <a:picLocks noChangeAspect="1"/>
        </xdr:cNvPicPr>
      </xdr:nvPicPr>
      <xdr:blipFill>
        <a:blip xmlns:r="http://schemas.openxmlformats.org/officeDocument/2006/relationships" r:embed="rId2"/>
        <a:stretch>
          <a:fillRect/>
        </a:stretch>
      </xdr:blipFill>
      <xdr:spPr>
        <a:xfrm>
          <a:off x="6050280" y="9486900"/>
          <a:ext cx="254372" cy="231774"/>
        </a:xfrm>
        <a:prstGeom prst="rect">
          <a:avLst/>
        </a:prstGeom>
      </xdr:spPr>
    </xdr:pic>
    <xdr:clientData/>
  </xdr:twoCellAnchor>
  <xdr:twoCellAnchor>
    <xdr:from>
      <xdr:col>1</xdr:col>
      <xdr:colOff>0</xdr:colOff>
      <xdr:row>77</xdr:row>
      <xdr:rowOff>1</xdr:rowOff>
    </xdr:from>
    <xdr:to>
      <xdr:col>2</xdr:col>
      <xdr:colOff>0</xdr:colOff>
      <xdr:row>80</xdr:row>
      <xdr:rowOff>0</xdr:rowOff>
    </xdr:to>
    <xdr:sp macro="" textlink="">
      <xdr:nvSpPr>
        <xdr:cNvPr id="9" name="Rectangle : coins arrondis 8" descr="Retour à la Présentation">
          <a:hlinkClick xmlns:r="http://schemas.openxmlformats.org/officeDocument/2006/relationships" r:id="rId4"/>
          <a:extLst>
            <a:ext uri="{FF2B5EF4-FFF2-40B4-BE49-F238E27FC236}">
              <a16:creationId xmlns:a16="http://schemas.microsoft.com/office/drawing/2014/main" id="{00000000-0008-0000-0300-000009000000}"/>
            </a:ext>
          </a:extLst>
        </xdr:cNvPr>
        <xdr:cNvSpPr/>
      </xdr:nvSpPr>
      <xdr:spPr>
        <a:xfrm>
          <a:off x="2034540" y="35897821"/>
          <a:ext cx="2110740" cy="525779"/>
        </a:xfrm>
        <a:prstGeom prst="roundRect">
          <a:avLst/>
        </a:prstGeom>
        <a:solidFill>
          <a:srgbClr val="74B4B9"/>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Retour à la Présentation</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38100</xdr:rowOff>
    </xdr:from>
    <xdr:ext cx="1358900" cy="736600"/>
    <xdr:pic>
      <xdr:nvPicPr>
        <xdr:cNvPr id="2" name="logo_teluq_nb.eps" descr="Logo de l'Université TÉLUQ.">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38100"/>
          <a:ext cx="1358900" cy="736600"/>
        </a:xfrm>
        <a:prstGeom prst="rect">
          <a:avLst/>
        </a:prstGeom>
      </xdr:spPr>
    </xdr:pic>
    <xdr:clientData/>
  </xdr:oneCellAnchor>
  <xdr:twoCellAnchor>
    <xdr:from>
      <xdr:col>0</xdr:col>
      <xdr:colOff>0</xdr:colOff>
      <xdr:row>4</xdr:row>
      <xdr:rowOff>0</xdr:rowOff>
    </xdr:from>
    <xdr:to>
      <xdr:col>9</xdr:col>
      <xdr:colOff>30480</xdr:colOff>
      <xdr:row>11</xdr:row>
      <xdr:rowOff>114300</xdr:rowOff>
    </xdr:to>
    <xdr:sp macro="" textlink="">
      <xdr:nvSpPr>
        <xdr:cNvPr id="3" name="Text Box 12">
          <a:extLst>
            <a:ext uri="{FF2B5EF4-FFF2-40B4-BE49-F238E27FC236}">
              <a16:creationId xmlns:a16="http://schemas.microsoft.com/office/drawing/2014/main" id="{00000000-0008-0000-0400-000003000000}"/>
            </a:ext>
          </a:extLst>
        </xdr:cNvPr>
        <xdr:cNvSpPr txBox="1">
          <a:spLocks noChangeArrowheads="1"/>
        </xdr:cNvSpPr>
      </xdr:nvSpPr>
      <xdr:spPr bwMode="auto">
        <a:xfrm>
          <a:off x="0" y="1005840"/>
          <a:ext cx="17266920" cy="1341120"/>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a:r>
            <a:rPr lang="en-US" sz="1800" b="1" i="0" u="none" strike="noStrike" cap="all" baseline="0">
              <a:solidFill>
                <a:srgbClr val="000000"/>
              </a:solidFill>
              <a:effectLst/>
              <a:latin typeface="+mn-lt"/>
              <a:ea typeface="+mn-ea"/>
              <a:cs typeface="Arial"/>
            </a:rPr>
            <a:t>Champ 1 : six compétences spécialisées au cœur du travail fait avec et pour les élèves</a:t>
          </a:r>
          <a:endParaRPr lang="en-US" sz="1200" b="1" i="0" u="none" strike="noStrike" cap="all" baseline="0">
            <a:solidFill>
              <a:srgbClr val="000000"/>
            </a:solidFill>
            <a:effectLst/>
            <a:latin typeface="Arial"/>
            <a:ea typeface="+mn-ea"/>
            <a:cs typeface="Arial"/>
          </a:endParaRPr>
        </a:p>
        <a:p>
          <a:pPr algn="l"/>
          <a:endParaRPr lang="en-US" sz="1400" b="1" i="0" u="none" strike="noStrike" baseline="0">
            <a:solidFill>
              <a:srgbClr val="000000"/>
            </a:solidFill>
            <a:effectLst/>
            <a:latin typeface="Arial"/>
            <a:ea typeface="+mn-ea"/>
            <a:cs typeface="Arial"/>
          </a:endParaRPr>
        </a:p>
        <a:p>
          <a:pPr algn="l"/>
          <a:r>
            <a:rPr lang="en-US" sz="1400" b="1" i="0" u="none" strike="noStrike" baseline="0">
              <a:solidFill>
                <a:srgbClr val="000000"/>
              </a:solidFill>
              <a:effectLst/>
              <a:latin typeface="Arial"/>
              <a:ea typeface="+mn-ea"/>
              <a:cs typeface="Arial"/>
            </a:rPr>
            <a:t>Compétence 3 :</a:t>
          </a:r>
          <a:r>
            <a:rPr lang="fr-CA" sz="1400" b="1">
              <a:solidFill>
                <a:srgbClr val="000000"/>
              </a:solidFill>
              <a:effectLst/>
              <a:latin typeface="+mn-lt"/>
              <a:ea typeface="+mn-ea"/>
              <a:cs typeface="+mn-cs"/>
            </a:rPr>
            <a:t> Planifier les situations d’enseignement et d’apprentissage</a:t>
          </a:r>
        </a:p>
        <a:p>
          <a:pPr algn="l"/>
          <a:r>
            <a:rPr lang="fr-CA" sz="1400" i="1">
              <a:solidFill>
                <a:srgbClr val="000000"/>
              </a:solidFill>
              <a:effectLst/>
              <a:latin typeface="+mn-lt"/>
              <a:ea typeface="+mn-ea"/>
              <a:cs typeface="+mn-cs"/>
            </a:rPr>
            <a:t>Concevoir et planifier des activités et des situations d’enseignement et d’apprentissage en fonction des élèves, des contenus d’apprentissage et des intentions de formation.</a:t>
          </a:r>
        </a:p>
      </xdr:txBody>
    </xdr:sp>
    <xdr:clientData fPrintsWithSheet="0"/>
  </xdr:twoCellAnchor>
  <xdr:twoCellAnchor editAs="oneCell">
    <xdr:from>
      <xdr:col>8</xdr:col>
      <xdr:colOff>783770</xdr:colOff>
      <xdr:row>4</xdr:row>
      <xdr:rowOff>81461</xdr:rowOff>
    </xdr:from>
    <xdr:to>
      <xdr:col>8</xdr:col>
      <xdr:colOff>1436279</xdr:colOff>
      <xdr:row>7</xdr:row>
      <xdr:rowOff>154389</xdr:rowOff>
    </xdr:to>
    <xdr:pic>
      <xdr:nvPicPr>
        <xdr:cNvPr id="23" name="Image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2"/>
        <a:stretch>
          <a:fillRect/>
        </a:stretch>
      </xdr:blipFill>
      <xdr:spPr>
        <a:xfrm>
          <a:off x="13901056" y="1093832"/>
          <a:ext cx="652509" cy="595443"/>
        </a:xfrm>
        <a:prstGeom prst="rect">
          <a:avLst/>
        </a:prstGeom>
      </xdr:spPr>
    </xdr:pic>
    <xdr:clientData/>
  </xdr:twoCellAnchor>
  <xdr:twoCellAnchor>
    <xdr:from>
      <xdr:col>0</xdr:col>
      <xdr:colOff>95249</xdr:colOff>
      <xdr:row>44</xdr:row>
      <xdr:rowOff>6237</xdr:rowOff>
    </xdr:from>
    <xdr:to>
      <xdr:col>1</xdr:col>
      <xdr:colOff>1508124</xdr:colOff>
      <xdr:row>45</xdr:row>
      <xdr:rowOff>0</xdr:rowOff>
    </xdr:to>
    <xdr:sp macro="" textlink="">
      <xdr:nvSpPr>
        <xdr:cNvPr id="4" name="Text Box 12">
          <a:extLst>
            <a:ext uri="{FF2B5EF4-FFF2-40B4-BE49-F238E27FC236}">
              <a16:creationId xmlns:a16="http://schemas.microsoft.com/office/drawing/2014/main" id="{00000000-0008-0000-0400-000004000000}"/>
            </a:ext>
          </a:extLst>
        </xdr:cNvPr>
        <xdr:cNvSpPr txBox="1">
          <a:spLocks noChangeArrowheads="1"/>
        </xdr:cNvSpPr>
      </xdr:nvSpPr>
      <xdr:spPr bwMode="auto">
        <a:xfrm>
          <a:off x="95249" y="11131437"/>
          <a:ext cx="3058795" cy="2157843"/>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pPr marL="0" indent="0"/>
          <a:r>
            <a:rPr lang="fr-CA" sz="1200" b="1" i="0" u="dbl" strike="noStrike" baseline="0">
              <a:solidFill>
                <a:srgbClr val="000000"/>
              </a:solidFill>
              <a:effectLst/>
              <a:latin typeface="Arial"/>
              <a:ea typeface="+mn-ea"/>
              <a:cs typeface="Arial"/>
            </a:rPr>
            <a:t>Dimension A</a:t>
          </a:r>
        </a:p>
        <a:p>
          <a:pPr marL="0" indent="0"/>
          <a:endParaRPr lang="fr-CA" sz="1200" b="1" i="0" u="dbl" strike="noStrike" baseline="0">
            <a:solidFill>
              <a:srgbClr val="000000"/>
            </a:solidFill>
            <a:effectLst/>
            <a:latin typeface="Arial"/>
            <a:ea typeface="+mn-ea"/>
            <a:cs typeface="Arial"/>
          </a:endParaRPr>
        </a:p>
        <a:p>
          <a:pPr lvl="0"/>
          <a:r>
            <a:rPr lang="fr-FR" sz="1100">
              <a:solidFill>
                <a:srgbClr val="000000"/>
              </a:solidFill>
              <a:effectLst/>
              <a:latin typeface="+mn-lt"/>
              <a:ea typeface="+mn-ea"/>
              <a:cs typeface="+mn-cs"/>
            </a:rPr>
            <a:t>Élaborer des séquences et des situations d’enseignement et d’apprentissage qui tiennent compte de la logique des contenus des programmes d’études, des connaissances préalables des élèves et de leurs préconceptions dans une perspective de planification des apprentissages à court, à moyen et à long terme.</a:t>
          </a:r>
          <a:endParaRPr lang="fr-CA" sz="1100">
            <a:solidFill>
              <a:srgbClr val="000000"/>
            </a:solidFill>
            <a:effectLst/>
            <a:latin typeface="+mn-lt"/>
            <a:ea typeface="+mn-ea"/>
            <a:cs typeface="+mn-cs"/>
          </a:endParaRPr>
        </a:p>
      </xdr:txBody>
    </xdr:sp>
    <xdr:clientData fPrintsWithSheet="0"/>
  </xdr:twoCellAnchor>
  <xdr:twoCellAnchor>
    <xdr:from>
      <xdr:col>0</xdr:col>
      <xdr:colOff>95249</xdr:colOff>
      <xdr:row>48</xdr:row>
      <xdr:rowOff>6237</xdr:rowOff>
    </xdr:from>
    <xdr:to>
      <xdr:col>1</xdr:col>
      <xdr:colOff>1508124</xdr:colOff>
      <xdr:row>49</xdr:row>
      <xdr:rowOff>0</xdr:rowOff>
    </xdr:to>
    <xdr:sp macro="" textlink="">
      <xdr:nvSpPr>
        <xdr:cNvPr id="32" name="Text Box 12">
          <a:extLst>
            <a:ext uri="{FF2B5EF4-FFF2-40B4-BE49-F238E27FC236}">
              <a16:creationId xmlns:a16="http://schemas.microsoft.com/office/drawing/2014/main" id="{00000000-0008-0000-0400-000020000000}"/>
            </a:ext>
          </a:extLst>
        </xdr:cNvPr>
        <xdr:cNvSpPr txBox="1">
          <a:spLocks noChangeArrowheads="1"/>
        </xdr:cNvSpPr>
      </xdr:nvSpPr>
      <xdr:spPr bwMode="auto">
        <a:xfrm>
          <a:off x="95249" y="13874637"/>
          <a:ext cx="3058795" cy="1974963"/>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B</a:t>
          </a:r>
          <a:endParaRPr lang="fr-CA" sz="1200">
            <a:solidFill>
              <a:srgbClr val="000000"/>
            </a:solidFill>
            <a:effectLst/>
          </a:endParaRPr>
        </a:p>
        <a:p>
          <a:endParaRPr lang="fr-CA">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Cerner, dans les programmes d’études, les concepts clés, les stratégies, les repères culturels et les connaissances autour desquels les situations d’enseignement et d’apprentissage seront organisées et les adapter à ses élèves.</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95249</xdr:colOff>
      <xdr:row>52</xdr:row>
      <xdr:rowOff>6237</xdr:rowOff>
    </xdr:from>
    <xdr:to>
      <xdr:col>1</xdr:col>
      <xdr:colOff>1508124</xdr:colOff>
      <xdr:row>53</xdr:row>
      <xdr:rowOff>0</xdr:rowOff>
    </xdr:to>
    <xdr:sp macro="" textlink="">
      <xdr:nvSpPr>
        <xdr:cNvPr id="33" name="Text Box 12">
          <a:extLst>
            <a:ext uri="{FF2B5EF4-FFF2-40B4-BE49-F238E27FC236}">
              <a16:creationId xmlns:a16="http://schemas.microsoft.com/office/drawing/2014/main" id="{00000000-0008-0000-0400-000021000000}"/>
            </a:ext>
          </a:extLst>
        </xdr:cNvPr>
        <xdr:cNvSpPr txBox="1">
          <a:spLocks noChangeArrowheads="1"/>
        </xdr:cNvSpPr>
      </xdr:nvSpPr>
      <xdr:spPr bwMode="auto">
        <a:xfrm>
          <a:off x="95249" y="16526397"/>
          <a:ext cx="3058795" cy="2005443"/>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C</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Vérifier la cohérence entre les intentions pédagogiques, les situations d’enseignement et d’apprentissage et les modalités d’évaluation planifiées.</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95249</xdr:colOff>
      <xdr:row>56</xdr:row>
      <xdr:rowOff>6237</xdr:rowOff>
    </xdr:from>
    <xdr:to>
      <xdr:col>1</xdr:col>
      <xdr:colOff>1508124</xdr:colOff>
      <xdr:row>57</xdr:row>
      <xdr:rowOff>0</xdr:rowOff>
    </xdr:to>
    <xdr:sp macro="" textlink="">
      <xdr:nvSpPr>
        <xdr:cNvPr id="31" name="Text Box 12">
          <a:extLst>
            <a:ext uri="{FF2B5EF4-FFF2-40B4-BE49-F238E27FC236}">
              <a16:creationId xmlns:a16="http://schemas.microsoft.com/office/drawing/2014/main" id="{00000000-0008-0000-0400-00001F000000}"/>
            </a:ext>
          </a:extLst>
        </xdr:cNvPr>
        <xdr:cNvSpPr txBox="1">
          <a:spLocks noChangeArrowheads="1"/>
        </xdr:cNvSpPr>
      </xdr:nvSpPr>
      <xdr:spPr bwMode="auto">
        <a:xfrm>
          <a:off x="95249" y="19117197"/>
          <a:ext cx="3058795" cy="2005443"/>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D</a:t>
          </a:r>
          <a:endParaRPr lang="fr-CA">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Tenir compte de l’hétérogénéité du groupe dans le choix du matériel et la préparation des situations d’enseignement et d’apprentissage : diversité de genre, ethnique, socioéconomique, culturelle, religieuse, linguistique ou liée à un handicap; conceptions, besoins et champs d’intérêt des élèves.</a:t>
          </a:r>
          <a:endParaRPr lang="fr-CA">
            <a:solidFill>
              <a:srgbClr val="000000"/>
            </a:solidFill>
            <a:effectLst/>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95249</xdr:colOff>
      <xdr:row>60</xdr:row>
      <xdr:rowOff>1157</xdr:rowOff>
    </xdr:from>
    <xdr:to>
      <xdr:col>1</xdr:col>
      <xdr:colOff>1508124</xdr:colOff>
      <xdr:row>60</xdr:row>
      <xdr:rowOff>1943100</xdr:rowOff>
    </xdr:to>
    <xdr:sp macro="" textlink="">
      <xdr:nvSpPr>
        <xdr:cNvPr id="29" name="Text Box 12">
          <a:extLst>
            <a:ext uri="{FF2B5EF4-FFF2-40B4-BE49-F238E27FC236}">
              <a16:creationId xmlns:a16="http://schemas.microsoft.com/office/drawing/2014/main" id="{00000000-0008-0000-0400-00001D000000}"/>
            </a:ext>
          </a:extLst>
        </xdr:cNvPr>
        <xdr:cNvSpPr txBox="1">
          <a:spLocks noChangeArrowheads="1"/>
        </xdr:cNvSpPr>
      </xdr:nvSpPr>
      <xdr:spPr bwMode="auto">
        <a:xfrm>
          <a:off x="95249" y="21733397"/>
          <a:ext cx="3058795" cy="1941943"/>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E</a:t>
          </a:r>
        </a:p>
        <a:p>
          <a:endParaRPr lang="fr-CA">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Prévoir des activités de préparation, d’intégration, de transfert et de réinvestissement des apprentissages en vue d’optimiser le développement des compétences.</a:t>
          </a:r>
          <a:endParaRPr lang="fr-CA">
            <a:solidFill>
              <a:srgbClr val="000000"/>
            </a:solidFill>
            <a:effectLst/>
          </a:endParaRPr>
        </a:p>
        <a:p>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editAs="oneCell">
    <xdr:from>
      <xdr:col>5</xdr:col>
      <xdr:colOff>1524000</xdr:colOff>
      <xdr:row>23</xdr:row>
      <xdr:rowOff>1172</xdr:rowOff>
    </xdr:from>
    <xdr:to>
      <xdr:col>5</xdr:col>
      <xdr:colOff>1784803</xdr:colOff>
      <xdr:row>23</xdr:row>
      <xdr:rowOff>242201</xdr:rowOff>
    </xdr:to>
    <xdr:pic>
      <xdr:nvPicPr>
        <xdr:cNvPr id="7" name="Imag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a:stretch>
          <a:fillRect/>
        </a:stretch>
      </xdr:blipFill>
      <xdr:spPr>
        <a:xfrm>
          <a:off x="7399020" y="5914292"/>
          <a:ext cx="260803" cy="241029"/>
        </a:xfrm>
        <a:prstGeom prst="rect">
          <a:avLst/>
        </a:prstGeom>
      </xdr:spPr>
    </xdr:pic>
    <xdr:clientData/>
  </xdr:twoCellAnchor>
  <xdr:twoCellAnchor>
    <xdr:from>
      <xdr:col>0</xdr:col>
      <xdr:colOff>95249</xdr:colOff>
      <xdr:row>65</xdr:row>
      <xdr:rowOff>0</xdr:rowOff>
    </xdr:from>
    <xdr:to>
      <xdr:col>1</xdr:col>
      <xdr:colOff>1444624</xdr:colOff>
      <xdr:row>65</xdr:row>
      <xdr:rowOff>2041638</xdr:rowOff>
    </xdr:to>
    <xdr:sp macro="" textlink="">
      <xdr:nvSpPr>
        <xdr:cNvPr id="10" name="Text Box 12">
          <a:extLst>
            <a:ext uri="{FF2B5EF4-FFF2-40B4-BE49-F238E27FC236}">
              <a16:creationId xmlns:a16="http://schemas.microsoft.com/office/drawing/2014/main" id="{00000000-0008-0000-0400-00000A000000}"/>
            </a:ext>
          </a:extLst>
        </xdr:cNvPr>
        <xdr:cNvSpPr txBox="1">
          <a:spLocks noChangeArrowheads="1"/>
        </xdr:cNvSpPr>
      </xdr:nvSpPr>
      <xdr:spPr bwMode="auto">
        <a:xfrm>
          <a:off x="95249" y="24536400"/>
          <a:ext cx="2995295" cy="2041638"/>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F</a:t>
          </a:r>
        </a:p>
        <a:p>
          <a:endParaRPr lang="fr-CA">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Appuyer le choix de ses stratégies d’intervention sur des données de recherche en matière de didactique et de pédagogie.</a:t>
          </a:r>
          <a:endParaRPr lang="fr-CA">
            <a:solidFill>
              <a:srgbClr val="000000"/>
            </a:solidFill>
            <a:effectLst/>
          </a:endParaRPr>
        </a:p>
        <a:p>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95249</xdr:colOff>
      <xdr:row>85</xdr:row>
      <xdr:rowOff>155575</xdr:rowOff>
    </xdr:from>
    <xdr:to>
      <xdr:col>1</xdr:col>
      <xdr:colOff>1508124</xdr:colOff>
      <xdr:row>85</xdr:row>
      <xdr:rowOff>2174988</xdr:rowOff>
    </xdr:to>
    <xdr:sp macro="" textlink="">
      <xdr:nvSpPr>
        <xdr:cNvPr id="40" name="Text Box 12">
          <a:extLst>
            <a:ext uri="{FF2B5EF4-FFF2-40B4-BE49-F238E27FC236}">
              <a16:creationId xmlns:a16="http://schemas.microsoft.com/office/drawing/2014/main" id="{00000000-0008-0000-0400-000028000000}"/>
            </a:ext>
          </a:extLst>
        </xdr:cNvPr>
        <xdr:cNvSpPr txBox="1">
          <a:spLocks noChangeArrowheads="1"/>
        </xdr:cNvSpPr>
      </xdr:nvSpPr>
      <xdr:spPr bwMode="auto">
        <a:xfrm>
          <a:off x="95249" y="36243895"/>
          <a:ext cx="3058795" cy="2019413"/>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J</a:t>
          </a: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Tenir compte, dans sa planification, des activités qui peuvent se dérouler en même temps que l’enseignement en classe (soutien linguistique, orthopédagogie, etc.).</a:t>
          </a:r>
          <a:endParaRPr lang="fr-CA">
            <a:solidFill>
              <a:srgbClr val="000000"/>
            </a:solidFill>
            <a:effectLst/>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95249</xdr:colOff>
      <xdr:row>75</xdr:row>
      <xdr:rowOff>28575</xdr:rowOff>
    </xdr:from>
    <xdr:to>
      <xdr:col>1</xdr:col>
      <xdr:colOff>1508124</xdr:colOff>
      <xdr:row>75</xdr:row>
      <xdr:rowOff>2047988</xdr:rowOff>
    </xdr:to>
    <xdr:sp macro="" textlink="">
      <xdr:nvSpPr>
        <xdr:cNvPr id="38" name="Text Box 12">
          <a:extLst>
            <a:ext uri="{FF2B5EF4-FFF2-40B4-BE49-F238E27FC236}">
              <a16:creationId xmlns:a16="http://schemas.microsoft.com/office/drawing/2014/main" id="{00000000-0008-0000-0400-000026000000}"/>
            </a:ext>
          </a:extLst>
        </xdr:cNvPr>
        <xdr:cNvSpPr txBox="1">
          <a:spLocks noChangeArrowheads="1"/>
        </xdr:cNvSpPr>
      </xdr:nvSpPr>
      <xdr:spPr bwMode="auto">
        <a:xfrm>
          <a:off x="95249" y="30264735"/>
          <a:ext cx="3058795" cy="2019413"/>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H</a:t>
          </a:r>
        </a:p>
        <a:p>
          <a:endParaRPr lang="fr-CA">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Veiller à ce que l’organisation spatiale et physique de la classe ou de ce qui en tient lieu offre, en fonction du contexte matériel et organisationnel, des conditions d’apprentissage optimales et sécuritaires pour toutes et tous.</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95249</xdr:colOff>
      <xdr:row>80</xdr:row>
      <xdr:rowOff>82550</xdr:rowOff>
    </xdr:from>
    <xdr:to>
      <xdr:col>1</xdr:col>
      <xdr:colOff>1508124</xdr:colOff>
      <xdr:row>80</xdr:row>
      <xdr:rowOff>2101963</xdr:rowOff>
    </xdr:to>
    <xdr:sp macro="" textlink="">
      <xdr:nvSpPr>
        <xdr:cNvPr id="39" name="Text Box 12">
          <a:extLst>
            <a:ext uri="{FF2B5EF4-FFF2-40B4-BE49-F238E27FC236}">
              <a16:creationId xmlns:a16="http://schemas.microsoft.com/office/drawing/2014/main" id="{00000000-0008-0000-0400-000027000000}"/>
            </a:ext>
          </a:extLst>
        </xdr:cNvPr>
        <xdr:cNvSpPr txBox="1">
          <a:spLocks noChangeArrowheads="1"/>
        </xdr:cNvSpPr>
      </xdr:nvSpPr>
      <xdr:spPr bwMode="auto">
        <a:xfrm>
          <a:off x="95249" y="33153350"/>
          <a:ext cx="3058795" cy="2019413"/>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I</a:t>
          </a:r>
        </a:p>
        <a:p>
          <a:pPr lvl="0"/>
          <a:r>
            <a:rPr lang="fr-FR" sz="1100">
              <a:solidFill>
                <a:srgbClr val="000000"/>
              </a:solidFill>
              <a:effectLst/>
              <a:latin typeface="+mn-lt"/>
              <a:ea typeface="+mn-ea"/>
              <a:cs typeface="+mn-cs"/>
            </a:rPr>
            <a:t>Prévoir le temps nécessaire à chaque étape de la situation d’enseignement et d’apprentissage.</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95249</xdr:colOff>
      <xdr:row>70</xdr:row>
      <xdr:rowOff>34925</xdr:rowOff>
    </xdr:from>
    <xdr:to>
      <xdr:col>1</xdr:col>
      <xdr:colOff>1508124</xdr:colOff>
      <xdr:row>70</xdr:row>
      <xdr:rowOff>2054338</xdr:rowOff>
    </xdr:to>
    <xdr:sp macro="" textlink="">
      <xdr:nvSpPr>
        <xdr:cNvPr id="37" name="Text Box 12">
          <a:extLst>
            <a:ext uri="{FF2B5EF4-FFF2-40B4-BE49-F238E27FC236}">
              <a16:creationId xmlns:a16="http://schemas.microsoft.com/office/drawing/2014/main" id="{00000000-0008-0000-0400-000025000000}"/>
            </a:ext>
          </a:extLst>
        </xdr:cNvPr>
        <xdr:cNvSpPr txBox="1">
          <a:spLocks noChangeArrowheads="1"/>
        </xdr:cNvSpPr>
      </xdr:nvSpPr>
      <xdr:spPr bwMode="auto">
        <a:xfrm>
          <a:off x="95249" y="27405965"/>
          <a:ext cx="3058795" cy="2019413"/>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G</a:t>
          </a:r>
        </a:p>
        <a:p>
          <a:endParaRPr lang="fr-CA">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Prévoir les moyens de présenter les contenus de manière structurée afin que les élèves puissent en saisir les éléments pertinents et comprendre leur caractère contingent.</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7</xdr:col>
      <xdr:colOff>792480</xdr:colOff>
      <xdr:row>44</xdr:row>
      <xdr:rowOff>762000</xdr:rowOff>
    </xdr:from>
    <xdr:to>
      <xdr:col>7</xdr:col>
      <xdr:colOff>1152480</xdr:colOff>
      <xdr:row>44</xdr:row>
      <xdr:rowOff>1012482</xdr:rowOff>
    </xdr:to>
    <xdr:sp macro="" textlink="">
      <xdr:nvSpPr>
        <xdr:cNvPr id="30" name="Flèche droite 7">
          <a:extLst>
            <a:ext uri="{FF2B5EF4-FFF2-40B4-BE49-F238E27FC236}">
              <a16:creationId xmlns:a16="http://schemas.microsoft.com/office/drawing/2014/main" id="{00000000-0008-0000-0400-00001E000000}"/>
            </a:ext>
          </a:extLst>
        </xdr:cNvPr>
        <xdr:cNvSpPr/>
      </xdr:nvSpPr>
      <xdr:spPr>
        <a:xfrm>
          <a:off x="11041380" y="11475720"/>
          <a:ext cx="360000" cy="25048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792480</xdr:colOff>
      <xdr:row>48</xdr:row>
      <xdr:rowOff>912796</xdr:rowOff>
    </xdr:from>
    <xdr:to>
      <xdr:col>7</xdr:col>
      <xdr:colOff>1152480</xdr:colOff>
      <xdr:row>48</xdr:row>
      <xdr:rowOff>1164721</xdr:rowOff>
    </xdr:to>
    <xdr:sp macro="" textlink="">
      <xdr:nvSpPr>
        <xdr:cNvPr id="34" name="Flèche droite 7">
          <a:extLst>
            <a:ext uri="{FF2B5EF4-FFF2-40B4-BE49-F238E27FC236}">
              <a16:creationId xmlns:a16="http://schemas.microsoft.com/office/drawing/2014/main" id="{00000000-0008-0000-0400-000022000000}"/>
            </a:ext>
          </a:extLst>
        </xdr:cNvPr>
        <xdr:cNvSpPr/>
      </xdr:nvSpPr>
      <xdr:spPr>
        <a:xfrm>
          <a:off x="11041380" y="14354476"/>
          <a:ext cx="360000" cy="25192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792480</xdr:colOff>
      <xdr:row>52</xdr:row>
      <xdr:rowOff>947065</xdr:rowOff>
    </xdr:from>
    <xdr:to>
      <xdr:col>7</xdr:col>
      <xdr:colOff>1152480</xdr:colOff>
      <xdr:row>52</xdr:row>
      <xdr:rowOff>1198990</xdr:rowOff>
    </xdr:to>
    <xdr:sp macro="" textlink="">
      <xdr:nvSpPr>
        <xdr:cNvPr id="35" name="Flèche droite 7">
          <a:extLst>
            <a:ext uri="{FF2B5EF4-FFF2-40B4-BE49-F238E27FC236}">
              <a16:creationId xmlns:a16="http://schemas.microsoft.com/office/drawing/2014/main" id="{00000000-0008-0000-0400-000023000000}"/>
            </a:ext>
          </a:extLst>
        </xdr:cNvPr>
        <xdr:cNvSpPr/>
      </xdr:nvSpPr>
      <xdr:spPr>
        <a:xfrm>
          <a:off x="11041380" y="17048125"/>
          <a:ext cx="360000" cy="25192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792480</xdr:colOff>
      <xdr:row>56</xdr:row>
      <xdr:rowOff>936559</xdr:rowOff>
    </xdr:from>
    <xdr:to>
      <xdr:col>7</xdr:col>
      <xdr:colOff>1152480</xdr:colOff>
      <xdr:row>56</xdr:row>
      <xdr:rowOff>1188484</xdr:rowOff>
    </xdr:to>
    <xdr:sp macro="" textlink="">
      <xdr:nvSpPr>
        <xdr:cNvPr id="36" name="Flèche droite 7">
          <a:extLst>
            <a:ext uri="{FF2B5EF4-FFF2-40B4-BE49-F238E27FC236}">
              <a16:creationId xmlns:a16="http://schemas.microsoft.com/office/drawing/2014/main" id="{00000000-0008-0000-0400-000024000000}"/>
            </a:ext>
          </a:extLst>
        </xdr:cNvPr>
        <xdr:cNvSpPr/>
      </xdr:nvSpPr>
      <xdr:spPr>
        <a:xfrm>
          <a:off x="11041380" y="19643659"/>
          <a:ext cx="360000" cy="25192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792480</xdr:colOff>
      <xdr:row>60</xdr:row>
      <xdr:rowOff>631969</xdr:rowOff>
    </xdr:from>
    <xdr:to>
      <xdr:col>7</xdr:col>
      <xdr:colOff>1152480</xdr:colOff>
      <xdr:row>60</xdr:row>
      <xdr:rowOff>883894</xdr:rowOff>
    </xdr:to>
    <xdr:sp macro="" textlink="">
      <xdr:nvSpPr>
        <xdr:cNvPr id="41" name="Flèche droite 7">
          <a:extLst>
            <a:ext uri="{FF2B5EF4-FFF2-40B4-BE49-F238E27FC236}">
              <a16:creationId xmlns:a16="http://schemas.microsoft.com/office/drawing/2014/main" id="{00000000-0008-0000-0400-000029000000}"/>
            </a:ext>
          </a:extLst>
        </xdr:cNvPr>
        <xdr:cNvSpPr/>
      </xdr:nvSpPr>
      <xdr:spPr>
        <a:xfrm>
          <a:off x="11041380" y="21967969"/>
          <a:ext cx="360000" cy="25192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792480</xdr:colOff>
      <xdr:row>65</xdr:row>
      <xdr:rowOff>871622</xdr:rowOff>
    </xdr:from>
    <xdr:to>
      <xdr:col>7</xdr:col>
      <xdr:colOff>1152480</xdr:colOff>
      <xdr:row>65</xdr:row>
      <xdr:rowOff>1123547</xdr:rowOff>
    </xdr:to>
    <xdr:sp macro="" textlink="">
      <xdr:nvSpPr>
        <xdr:cNvPr id="42" name="Flèche droite 7">
          <a:extLst>
            <a:ext uri="{FF2B5EF4-FFF2-40B4-BE49-F238E27FC236}">
              <a16:creationId xmlns:a16="http://schemas.microsoft.com/office/drawing/2014/main" id="{00000000-0008-0000-0400-00002A000000}"/>
            </a:ext>
          </a:extLst>
        </xdr:cNvPr>
        <xdr:cNvSpPr/>
      </xdr:nvSpPr>
      <xdr:spPr>
        <a:xfrm>
          <a:off x="11041380" y="24981302"/>
          <a:ext cx="360000" cy="25192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792480</xdr:colOff>
      <xdr:row>70</xdr:row>
      <xdr:rowOff>1173086</xdr:rowOff>
    </xdr:from>
    <xdr:to>
      <xdr:col>7</xdr:col>
      <xdr:colOff>1152480</xdr:colOff>
      <xdr:row>70</xdr:row>
      <xdr:rowOff>1425011</xdr:rowOff>
    </xdr:to>
    <xdr:sp macro="" textlink="">
      <xdr:nvSpPr>
        <xdr:cNvPr id="43" name="Flèche droite 7">
          <a:extLst>
            <a:ext uri="{FF2B5EF4-FFF2-40B4-BE49-F238E27FC236}">
              <a16:creationId xmlns:a16="http://schemas.microsoft.com/office/drawing/2014/main" id="{00000000-0008-0000-0400-00002B000000}"/>
            </a:ext>
          </a:extLst>
        </xdr:cNvPr>
        <xdr:cNvSpPr/>
      </xdr:nvSpPr>
      <xdr:spPr>
        <a:xfrm>
          <a:off x="11041380" y="28071686"/>
          <a:ext cx="360000" cy="25192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792480</xdr:colOff>
      <xdr:row>75</xdr:row>
      <xdr:rowOff>1063357</xdr:rowOff>
    </xdr:from>
    <xdr:to>
      <xdr:col>7</xdr:col>
      <xdr:colOff>1152480</xdr:colOff>
      <xdr:row>75</xdr:row>
      <xdr:rowOff>1315282</xdr:rowOff>
    </xdr:to>
    <xdr:sp macro="" textlink="">
      <xdr:nvSpPr>
        <xdr:cNvPr id="44" name="Flèche droite 7">
          <a:extLst>
            <a:ext uri="{FF2B5EF4-FFF2-40B4-BE49-F238E27FC236}">
              <a16:creationId xmlns:a16="http://schemas.microsoft.com/office/drawing/2014/main" id="{00000000-0008-0000-0400-00002C000000}"/>
            </a:ext>
          </a:extLst>
        </xdr:cNvPr>
        <xdr:cNvSpPr/>
      </xdr:nvSpPr>
      <xdr:spPr>
        <a:xfrm>
          <a:off x="11041380" y="30788977"/>
          <a:ext cx="360000" cy="25192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792480</xdr:colOff>
      <xdr:row>80</xdr:row>
      <xdr:rowOff>925275</xdr:rowOff>
    </xdr:from>
    <xdr:to>
      <xdr:col>7</xdr:col>
      <xdr:colOff>1152480</xdr:colOff>
      <xdr:row>80</xdr:row>
      <xdr:rowOff>1177200</xdr:rowOff>
    </xdr:to>
    <xdr:sp macro="" textlink="">
      <xdr:nvSpPr>
        <xdr:cNvPr id="45" name="Flèche droite 7">
          <a:extLst>
            <a:ext uri="{FF2B5EF4-FFF2-40B4-BE49-F238E27FC236}">
              <a16:creationId xmlns:a16="http://schemas.microsoft.com/office/drawing/2014/main" id="{00000000-0008-0000-0400-00002D000000}"/>
            </a:ext>
          </a:extLst>
        </xdr:cNvPr>
        <xdr:cNvSpPr/>
      </xdr:nvSpPr>
      <xdr:spPr>
        <a:xfrm>
          <a:off x="11041380" y="33455055"/>
          <a:ext cx="360000" cy="25192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792480</xdr:colOff>
      <xdr:row>85</xdr:row>
      <xdr:rowOff>839063</xdr:rowOff>
    </xdr:from>
    <xdr:to>
      <xdr:col>7</xdr:col>
      <xdr:colOff>1152480</xdr:colOff>
      <xdr:row>85</xdr:row>
      <xdr:rowOff>1090988</xdr:rowOff>
    </xdr:to>
    <xdr:sp macro="" textlink="">
      <xdr:nvSpPr>
        <xdr:cNvPr id="46" name="Flèche droite 7">
          <a:extLst>
            <a:ext uri="{FF2B5EF4-FFF2-40B4-BE49-F238E27FC236}">
              <a16:creationId xmlns:a16="http://schemas.microsoft.com/office/drawing/2014/main" id="{00000000-0008-0000-0400-00002E000000}"/>
            </a:ext>
          </a:extLst>
        </xdr:cNvPr>
        <xdr:cNvSpPr/>
      </xdr:nvSpPr>
      <xdr:spPr>
        <a:xfrm>
          <a:off x="11041380" y="36363503"/>
          <a:ext cx="360000" cy="25192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44</xdr:row>
      <xdr:rowOff>883920</xdr:rowOff>
    </xdr:from>
    <xdr:to>
      <xdr:col>1</xdr:col>
      <xdr:colOff>1944960</xdr:colOff>
      <xdr:row>44</xdr:row>
      <xdr:rowOff>1134402</xdr:rowOff>
    </xdr:to>
    <xdr:sp macro="" textlink="">
      <xdr:nvSpPr>
        <xdr:cNvPr id="49" name="Flèche droite 7">
          <a:extLst>
            <a:ext uri="{FF2B5EF4-FFF2-40B4-BE49-F238E27FC236}">
              <a16:creationId xmlns:a16="http://schemas.microsoft.com/office/drawing/2014/main" id="{00000000-0008-0000-0400-000031000000}"/>
            </a:ext>
          </a:extLst>
        </xdr:cNvPr>
        <xdr:cNvSpPr/>
      </xdr:nvSpPr>
      <xdr:spPr>
        <a:xfrm>
          <a:off x="3390900" y="11597640"/>
          <a:ext cx="360000" cy="25048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48</xdr:row>
      <xdr:rowOff>1034716</xdr:rowOff>
    </xdr:from>
    <xdr:to>
      <xdr:col>1</xdr:col>
      <xdr:colOff>1944960</xdr:colOff>
      <xdr:row>48</xdr:row>
      <xdr:rowOff>1286641</xdr:rowOff>
    </xdr:to>
    <xdr:sp macro="" textlink="">
      <xdr:nvSpPr>
        <xdr:cNvPr id="50" name="Flèche droite 7">
          <a:extLst>
            <a:ext uri="{FF2B5EF4-FFF2-40B4-BE49-F238E27FC236}">
              <a16:creationId xmlns:a16="http://schemas.microsoft.com/office/drawing/2014/main" id="{00000000-0008-0000-0400-000032000000}"/>
            </a:ext>
          </a:extLst>
        </xdr:cNvPr>
        <xdr:cNvSpPr/>
      </xdr:nvSpPr>
      <xdr:spPr>
        <a:xfrm>
          <a:off x="3390900" y="14476396"/>
          <a:ext cx="360000" cy="25192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52</xdr:row>
      <xdr:rowOff>1068985</xdr:rowOff>
    </xdr:from>
    <xdr:to>
      <xdr:col>1</xdr:col>
      <xdr:colOff>1944960</xdr:colOff>
      <xdr:row>52</xdr:row>
      <xdr:rowOff>1320910</xdr:rowOff>
    </xdr:to>
    <xdr:sp macro="" textlink="">
      <xdr:nvSpPr>
        <xdr:cNvPr id="51" name="Flèche droite 7">
          <a:extLst>
            <a:ext uri="{FF2B5EF4-FFF2-40B4-BE49-F238E27FC236}">
              <a16:creationId xmlns:a16="http://schemas.microsoft.com/office/drawing/2014/main" id="{00000000-0008-0000-0400-000033000000}"/>
            </a:ext>
          </a:extLst>
        </xdr:cNvPr>
        <xdr:cNvSpPr/>
      </xdr:nvSpPr>
      <xdr:spPr>
        <a:xfrm>
          <a:off x="3390900" y="17170045"/>
          <a:ext cx="360000" cy="25192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56</xdr:row>
      <xdr:rowOff>1058479</xdr:rowOff>
    </xdr:from>
    <xdr:to>
      <xdr:col>1</xdr:col>
      <xdr:colOff>1944960</xdr:colOff>
      <xdr:row>56</xdr:row>
      <xdr:rowOff>1310404</xdr:rowOff>
    </xdr:to>
    <xdr:sp macro="" textlink="">
      <xdr:nvSpPr>
        <xdr:cNvPr id="52" name="Flèche droite 7">
          <a:extLst>
            <a:ext uri="{FF2B5EF4-FFF2-40B4-BE49-F238E27FC236}">
              <a16:creationId xmlns:a16="http://schemas.microsoft.com/office/drawing/2014/main" id="{00000000-0008-0000-0400-000034000000}"/>
            </a:ext>
          </a:extLst>
        </xdr:cNvPr>
        <xdr:cNvSpPr/>
      </xdr:nvSpPr>
      <xdr:spPr>
        <a:xfrm>
          <a:off x="3390900" y="19765579"/>
          <a:ext cx="360000" cy="25192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60</xdr:row>
      <xdr:rowOff>753889</xdr:rowOff>
    </xdr:from>
    <xdr:to>
      <xdr:col>1</xdr:col>
      <xdr:colOff>1944960</xdr:colOff>
      <xdr:row>60</xdr:row>
      <xdr:rowOff>1005814</xdr:rowOff>
    </xdr:to>
    <xdr:sp macro="" textlink="">
      <xdr:nvSpPr>
        <xdr:cNvPr id="53" name="Flèche droite 7">
          <a:extLst>
            <a:ext uri="{FF2B5EF4-FFF2-40B4-BE49-F238E27FC236}">
              <a16:creationId xmlns:a16="http://schemas.microsoft.com/office/drawing/2014/main" id="{00000000-0008-0000-0400-000035000000}"/>
            </a:ext>
          </a:extLst>
        </xdr:cNvPr>
        <xdr:cNvSpPr/>
      </xdr:nvSpPr>
      <xdr:spPr>
        <a:xfrm>
          <a:off x="3390900" y="22089889"/>
          <a:ext cx="360000" cy="25192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65</xdr:row>
      <xdr:rowOff>993542</xdr:rowOff>
    </xdr:from>
    <xdr:to>
      <xdr:col>1</xdr:col>
      <xdr:colOff>1944960</xdr:colOff>
      <xdr:row>65</xdr:row>
      <xdr:rowOff>1245467</xdr:rowOff>
    </xdr:to>
    <xdr:sp macro="" textlink="">
      <xdr:nvSpPr>
        <xdr:cNvPr id="54" name="Flèche droite 7">
          <a:extLst>
            <a:ext uri="{FF2B5EF4-FFF2-40B4-BE49-F238E27FC236}">
              <a16:creationId xmlns:a16="http://schemas.microsoft.com/office/drawing/2014/main" id="{00000000-0008-0000-0400-000036000000}"/>
            </a:ext>
          </a:extLst>
        </xdr:cNvPr>
        <xdr:cNvSpPr/>
      </xdr:nvSpPr>
      <xdr:spPr>
        <a:xfrm>
          <a:off x="3390900" y="25103222"/>
          <a:ext cx="360000" cy="25192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70</xdr:row>
      <xdr:rowOff>1295006</xdr:rowOff>
    </xdr:from>
    <xdr:to>
      <xdr:col>1</xdr:col>
      <xdr:colOff>1944960</xdr:colOff>
      <xdr:row>70</xdr:row>
      <xdr:rowOff>1546931</xdr:rowOff>
    </xdr:to>
    <xdr:sp macro="" textlink="">
      <xdr:nvSpPr>
        <xdr:cNvPr id="55" name="Flèche droite 7">
          <a:extLst>
            <a:ext uri="{FF2B5EF4-FFF2-40B4-BE49-F238E27FC236}">
              <a16:creationId xmlns:a16="http://schemas.microsoft.com/office/drawing/2014/main" id="{00000000-0008-0000-0400-000037000000}"/>
            </a:ext>
          </a:extLst>
        </xdr:cNvPr>
        <xdr:cNvSpPr/>
      </xdr:nvSpPr>
      <xdr:spPr>
        <a:xfrm>
          <a:off x="3390900" y="28193606"/>
          <a:ext cx="360000" cy="25192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75</xdr:row>
      <xdr:rowOff>1185277</xdr:rowOff>
    </xdr:from>
    <xdr:to>
      <xdr:col>1</xdr:col>
      <xdr:colOff>1944960</xdr:colOff>
      <xdr:row>75</xdr:row>
      <xdr:rowOff>1437202</xdr:rowOff>
    </xdr:to>
    <xdr:sp macro="" textlink="">
      <xdr:nvSpPr>
        <xdr:cNvPr id="56" name="Flèche droite 7">
          <a:extLst>
            <a:ext uri="{FF2B5EF4-FFF2-40B4-BE49-F238E27FC236}">
              <a16:creationId xmlns:a16="http://schemas.microsoft.com/office/drawing/2014/main" id="{00000000-0008-0000-0400-000038000000}"/>
            </a:ext>
          </a:extLst>
        </xdr:cNvPr>
        <xdr:cNvSpPr/>
      </xdr:nvSpPr>
      <xdr:spPr>
        <a:xfrm>
          <a:off x="3390900" y="30910897"/>
          <a:ext cx="360000" cy="25192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80</xdr:row>
      <xdr:rowOff>1047195</xdr:rowOff>
    </xdr:from>
    <xdr:to>
      <xdr:col>1</xdr:col>
      <xdr:colOff>1944960</xdr:colOff>
      <xdr:row>80</xdr:row>
      <xdr:rowOff>1299120</xdr:rowOff>
    </xdr:to>
    <xdr:sp macro="" textlink="">
      <xdr:nvSpPr>
        <xdr:cNvPr id="57" name="Flèche droite 7">
          <a:extLst>
            <a:ext uri="{FF2B5EF4-FFF2-40B4-BE49-F238E27FC236}">
              <a16:creationId xmlns:a16="http://schemas.microsoft.com/office/drawing/2014/main" id="{00000000-0008-0000-0400-000039000000}"/>
            </a:ext>
          </a:extLst>
        </xdr:cNvPr>
        <xdr:cNvSpPr/>
      </xdr:nvSpPr>
      <xdr:spPr>
        <a:xfrm>
          <a:off x="3390900" y="33576975"/>
          <a:ext cx="360000" cy="25192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85</xdr:row>
      <xdr:rowOff>960983</xdr:rowOff>
    </xdr:from>
    <xdr:to>
      <xdr:col>1</xdr:col>
      <xdr:colOff>1944960</xdr:colOff>
      <xdr:row>85</xdr:row>
      <xdr:rowOff>1212908</xdr:rowOff>
    </xdr:to>
    <xdr:sp macro="" textlink="">
      <xdr:nvSpPr>
        <xdr:cNvPr id="58" name="Flèche droite 7">
          <a:extLst>
            <a:ext uri="{FF2B5EF4-FFF2-40B4-BE49-F238E27FC236}">
              <a16:creationId xmlns:a16="http://schemas.microsoft.com/office/drawing/2014/main" id="{00000000-0008-0000-0400-00003A000000}"/>
            </a:ext>
          </a:extLst>
        </xdr:cNvPr>
        <xdr:cNvSpPr/>
      </xdr:nvSpPr>
      <xdr:spPr>
        <a:xfrm>
          <a:off x="3390900" y="36485423"/>
          <a:ext cx="360000" cy="25192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editAs="oneCell">
    <xdr:from>
      <xdr:col>5</xdr:col>
      <xdr:colOff>144780</xdr:colOff>
      <xdr:row>41</xdr:row>
      <xdr:rowOff>22860</xdr:rowOff>
    </xdr:from>
    <xdr:to>
      <xdr:col>5</xdr:col>
      <xdr:colOff>399152</xdr:colOff>
      <xdr:row>41</xdr:row>
      <xdr:rowOff>254634</xdr:rowOff>
    </xdr:to>
    <xdr:pic>
      <xdr:nvPicPr>
        <xdr:cNvPr id="59" name="Image 58">
          <a:extLst>
            <a:ext uri="{FF2B5EF4-FFF2-40B4-BE49-F238E27FC236}">
              <a16:creationId xmlns:a16="http://schemas.microsoft.com/office/drawing/2014/main" id="{00000000-0008-0000-0400-00003B000000}"/>
            </a:ext>
          </a:extLst>
        </xdr:cNvPr>
        <xdr:cNvPicPr>
          <a:picLocks noChangeAspect="1"/>
        </xdr:cNvPicPr>
      </xdr:nvPicPr>
      <xdr:blipFill>
        <a:blip xmlns:r="http://schemas.openxmlformats.org/officeDocument/2006/relationships" r:embed="rId3"/>
        <a:stretch>
          <a:fillRect/>
        </a:stretch>
      </xdr:blipFill>
      <xdr:spPr>
        <a:xfrm>
          <a:off x="6019800" y="9806940"/>
          <a:ext cx="254372" cy="231774"/>
        </a:xfrm>
        <a:prstGeom prst="rect">
          <a:avLst/>
        </a:prstGeom>
      </xdr:spPr>
    </xdr:pic>
    <xdr:clientData/>
  </xdr:twoCellAnchor>
  <xdr:twoCellAnchor>
    <xdr:from>
      <xdr:col>1</xdr:col>
      <xdr:colOff>0</xdr:colOff>
      <xdr:row>93</xdr:row>
      <xdr:rowOff>175259</xdr:rowOff>
    </xdr:from>
    <xdr:to>
      <xdr:col>2</xdr:col>
      <xdr:colOff>0</xdr:colOff>
      <xdr:row>96</xdr:row>
      <xdr:rowOff>175258</xdr:rowOff>
    </xdr:to>
    <xdr:sp macro="" textlink="">
      <xdr:nvSpPr>
        <xdr:cNvPr id="9" name="Rectangle : coins arrondis 8" descr="Retour à la Présentation">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2034540" y="39235379"/>
          <a:ext cx="2110740" cy="525779"/>
        </a:xfrm>
        <a:prstGeom prst="roundRect">
          <a:avLst/>
        </a:prstGeom>
        <a:solidFill>
          <a:srgbClr val="74B4B9"/>
        </a:solidFill>
        <a:ln>
          <a:solidFill>
            <a:srgbClr val="74B4B9"/>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Retour à la Présentation</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38100</xdr:rowOff>
    </xdr:from>
    <xdr:ext cx="1358900" cy="736600"/>
    <xdr:pic>
      <xdr:nvPicPr>
        <xdr:cNvPr id="2" name="logo_teluq_nb.eps" descr="Logo de l'Université TÉLUQ.">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38100"/>
          <a:ext cx="1358900" cy="736600"/>
        </a:xfrm>
        <a:prstGeom prst="rect">
          <a:avLst/>
        </a:prstGeom>
      </xdr:spPr>
    </xdr:pic>
    <xdr:clientData/>
  </xdr:oneCellAnchor>
  <xdr:twoCellAnchor>
    <xdr:from>
      <xdr:col>0</xdr:col>
      <xdr:colOff>0</xdr:colOff>
      <xdr:row>4</xdr:row>
      <xdr:rowOff>0</xdr:rowOff>
    </xdr:from>
    <xdr:to>
      <xdr:col>9</xdr:col>
      <xdr:colOff>30480</xdr:colOff>
      <xdr:row>11</xdr:row>
      <xdr:rowOff>114300</xdr:rowOff>
    </xdr:to>
    <xdr:sp macro="" textlink="">
      <xdr:nvSpPr>
        <xdr:cNvPr id="3" name="Text Box 12">
          <a:extLst>
            <a:ext uri="{FF2B5EF4-FFF2-40B4-BE49-F238E27FC236}">
              <a16:creationId xmlns:a16="http://schemas.microsoft.com/office/drawing/2014/main" id="{00000000-0008-0000-0500-000003000000}"/>
            </a:ext>
          </a:extLst>
        </xdr:cNvPr>
        <xdr:cNvSpPr txBox="1">
          <a:spLocks noChangeArrowheads="1"/>
        </xdr:cNvSpPr>
      </xdr:nvSpPr>
      <xdr:spPr bwMode="auto">
        <a:xfrm>
          <a:off x="0" y="1005840"/>
          <a:ext cx="17266920" cy="1341120"/>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a:r>
            <a:rPr lang="en-US" sz="1800" b="1" i="0" u="none" strike="noStrike" cap="all" baseline="0">
              <a:solidFill>
                <a:srgbClr val="000000"/>
              </a:solidFill>
              <a:effectLst/>
              <a:latin typeface="+mn-lt"/>
              <a:ea typeface="+mn-ea"/>
              <a:cs typeface="Arial"/>
            </a:rPr>
            <a:t>Champ 1 : six compétences spécialisées au cœur du travail fait avec et pour les élèves</a:t>
          </a:r>
          <a:endParaRPr lang="en-US" sz="1200" b="1" i="0" u="none" strike="noStrike" cap="all" baseline="0">
            <a:solidFill>
              <a:srgbClr val="000000"/>
            </a:solidFill>
            <a:effectLst/>
            <a:latin typeface="Arial"/>
            <a:ea typeface="+mn-ea"/>
            <a:cs typeface="Arial"/>
          </a:endParaRPr>
        </a:p>
        <a:p>
          <a:pPr algn="l"/>
          <a:endParaRPr lang="en-US" sz="1400" b="1" i="0" u="none" strike="noStrike" baseline="0">
            <a:solidFill>
              <a:srgbClr val="000000"/>
            </a:solidFill>
            <a:effectLst/>
            <a:latin typeface="Arial"/>
            <a:ea typeface="+mn-ea"/>
            <a:cs typeface="Arial"/>
          </a:endParaRPr>
        </a:p>
        <a:p>
          <a:pPr algn="l"/>
          <a:r>
            <a:rPr lang="en-US" sz="1400" b="1" i="0" u="none" strike="noStrike" baseline="0">
              <a:solidFill>
                <a:srgbClr val="000000"/>
              </a:solidFill>
              <a:effectLst/>
              <a:latin typeface="Arial"/>
              <a:ea typeface="+mn-ea"/>
              <a:cs typeface="Arial"/>
            </a:rPr>
            <a:t>Compétence 4 :</a:t>
          </a:r>
          <a:r>
            <a:rPr lang="fr-CA" sz="1400" b="1">
              <a:solidFill>
                <a:srgbClr val="000000"/>
              </a:solidFill>
              <a:effectLst/>
              <a:latin typeface="+mn-lt"/>
              <a:ea typeface="+mn-ea"/>
              <a:cs typeface="+mn-cs"/>
            </a:rPr>
            <a:t> Mettre en œuvre les situations d’enseignement et d’apprentissage</a:t>
          </a:r>
        </a:p>
        <a:p>
          <a:pPr algn="l"/>
          <a:r>
            <a:rPr lang="fr-CA" sz="1400" i="1">
              <a:solidFill>
                <a:srgbClr val="000000"/>
              </a:solidFill>
              <a:effectLst/>
              <a:latin typeface="+mn-lt"/>
              <a:ea typeface="+mn-ea"/>
              <a:cs typeface="+mn-cs"/>
            </a:rPr>
            <a:t>Mettre en œuvre et superviser les situations d’enseignement et d’apprentissage en fonction des élèves et des intentions de formation.</a:t>
          </a:r>
        </a:p>
      </xdr:txBody>
    </xdr:sp>
    <xdr:clientData fPrintsWithSheet="0"/>
  </xdr:twoCellAnchor>
  <xdr:twoCellAnchor editAs="oneCell">
    <xdr:from>
      <xdr:col>5</xdr:col>
      <xdr:colOff>1596390</xdr:colOff>
      <xdr:row>23</xdr:row>
      <xdr:rowOff>0</xdr:rowOff>
    </xdr:from>
    <xdr:to>
      <xdr:col>5</xdr:col>
      <xdr:colOff>1857193</xdr:colOff>
      <xdr:row>23</xdr:row>
      <xdr:rowOff>243569</xdr:rowOff>
    </xdr:to>
    <xdr:pic>
      <xdr:nvPicPr>
        <xdr:cNvPr id="6" name="Imag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2"/>
        <a:stretch>
          <a:fillRect/>
        </a:stretch>
      </xdr:blipFill>
      <xdr:spPr>
        <a:xfrm>
          <a:off x="7471410" y="5518695"/>
          <a:ext cx="260803" cy="243569"/>
        </a:xfrm>
        <a:prstGeom prst="rect">
          <a:avLst/>
        </a:prstGeom>
      </xdr:spPr>
    </xdr:pic>
    <xdr:clientData/>
  </xdr:twoCellAnchor>
  <xdr:twoCellAnchor editAs="oneCell">
    <xdr:from>
      <xdr:col>8</xdr:col>
      <xdr:colOff>834572</xdr:colOff>
      <xdr:row>4</xdr:row>
      <xdr:rowOff>101418</xdr:rowOff>
    </xdr:from>
    <xdr:to>
      <xdr:col>8</xdr:col>
      <xdr:colOff>1588680</xdr:colOff>
      <xdr:row>8</xdr:row>
      <xdr:rowOff>95149</xdr:rowOff>
    </xdr:to>
    <xdr:pic>
      <xdr:nvPicPr>
        <xdr:cNvPr id="23" name="Image 22">
          <a:extLst>
            <a:ext uri="{FF2B5EF4-FFF2-40B4-BE49-F238E27FC236}">
              <a16:creationId xmlns:a16="http://schemas.microsoft.com/office/drawing/2014/main" id="{00000000-0008-0000-0500-000017000000}"/>
            </a:ext>
          </a:extLst>
        </xdr:cNvPr>
        <xdr:cNvPicPr>
          <a:picLocks noChangeAspect="1"/>
        </xdr:cNvPicPr>
      </xdr:nvPicPr>
      <xdr:blipFill>
        <a:blip xmlns:r="http://schemas.openxmlformats.org/officeDocument/2006/relationships" r:embed="rId3"/>
        <a:stretch>
          <a:fillRect/>
        </a:stretch>
      </xdr:blipFill>
      <xdr:spPr>
        <a:xfrm>
          <a:off x="14474372" y="1113789"/>
          <a:ext cx="754108" cy="690417"/>
        </a:xfrm>
        <a:prstGeom prst="rect">
          <a:avLst/>
        </a:prstGeom>
      </xdr:spPr>
    </xdr:pic>
    <xdr:clientData/>
  </xdr:twoCellAnchor>
  <xdr:twoCellAnchor>
    <xdr:from>
      <xdr:col>0</xdr:col>
      <xdr:colOff>87086</xdr:colOff>
      <xdr:row>43</xdr:row>
      <xdr:rowOff>180409</xdr:rowOff>
    </xdr:from>
    <xdr:to>
      <xdr:col>1</xdr:col>
      <xdr:colOff>1499961</xdr:colOff>
      <xdr:row>45</xdr:row>
      <xdr:rowOff>87086</xdr:rowOff>
    </xdr:to>
    <xdr:sp macro="" textlink="">
      <xdr:nvSpPr>
        <xdr:cNvPr id="15" name="Text Box 12">
          <a:extLst>
            <a:ext uri="{FF2B5EF4-FFF2-40B4-BE49-F238E27FC236}">
              <a16:creationId xmlns:a16="http://schemas.microsoft.com/office/drawing/2014/main" id="{00000000-0008-0000-0500-00000F000000}"/>
            </a:ext>
          </a:extLst>
        </xdr:cNvPr>
        <xdr:cNvSpPr txBox="1">
          <a:spLocks noChangeArrowheads="1"/>
        </xdr:cNvSpPr>
      </xdr:nvSpPr>
      <xdr:spPr bwMode="auto">
        <a:xfrm>
          <a:off x="87086" y="12799129"/>
          <a:ext cx="3058795" cy="2192677"/>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B</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Vérifier les préconceptions des élèves et réactiver les connaissances préalables aux situations d’enseignement et d’apprentissage.</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87086</xdr:colOff>
      <xdr:row>48</xdr:row>
      <xdr:rowOff>6237</xdr:rowOff>
    </xdr:from>
    <xdr:to>
      <xdr:col>1</xdr:col>
      <xdr:colOff>1499961</xdr:colOff>
      <xdr:row>49</xdr:row>
      <xdr:rowOff>0</xdr:rowOff>
    </xdr:to>
    <xdr:sp macro="" textlink="">
      <xdr:nvSpPr>
        <xdr:cNvPr id="31" name="Text Box 12">
          <a:extLst>
            <a:ext uri="{FF2B5EF4-FFF2-40B4-BE49-F238E27FC236}">
              <a16:creationId xmlns:a16="http://schemas.microsoft.com/office/drawing/2014/main" id="{00000000-0008-0000-0500-00001F000000}"/>
            </a:ext>
          </a:extLst>
        </xdr:cNvPr>
        <xdr:cNvSpPr txBox="1">
          <a:spLocks noChangeArrowheads="1"/>
        </xdr:cNvSpPr>
      </xdr:nvSpPr>
      <xdr:spPr bwMode="auto">
        <a:xfrm>
          <a:off x="87086" y="15581517"/>
          <a:ext cx="3058795" cy="2310243"/>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C</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Mettre en place diverses approches et stratégies ainsi que des tâches stimulantes et variées afin de susciter et de maintenir chez les élèves un engagement actif dans la tâche et de cultiver leur autonomie.</a:t>
          </a:r>
          <a:endParaRPr lang="fr-CA" sz="1100">
            <a:solidFill>
              <a:srgbClr val="000000"/>
            </a:solidFill>
            <a:effectLst/>
            <a:latin typeface="+mn-lt"/>
            <a:ea typeface="+mn-ea"/>
            <a:cs typeface="+mn-cs"/>
          </a:endParaRPr>
        </a:p>
        <a:p>
          <a:pPr lvl="0"/>
          <a:endParaRPr lang="fr-CA" sz="1100">
            <a:solidFill>
              <a:srgbClr val="000000"/>
            </a:solidFill>
            <a:effectLst/>
            <a:latin typeface="+mn-lt"/>
            <a:ea typeface="+mn-ea"/>
            <a:cs typeface="+mn-cs"/>
          </a:endParaRPr>
        </a:p>
      </xdr:txBody>
    </xdr:sp>
    <xdr:clientData fPrintsWithSheet="0"/>
  </xdr:twoCellAnchor>
  <xdr:twoCellAnchor>
    <xdr:from>
      <xdr:col>0</xdr:col>
      <xdr:colOff>87086</xdr:colOff>
      <xdr:row>39</xdr:row>
      <xdr:rowOff>239486</xdr:rowOff>
    </xdr:from>
    <xdr:to>
      <xdr:col>1</xdr:col>
      <xdr:colOff>1499961</xdr:colOff>
      <xdr:row>40</xdr:row>
      <xdr:rowOff>2035629</xdr:rowOff>
    </xdr:to>
    <xdr:sp macro="" textlink="">
      <xdr:nvSpPr>
        <xdr:cNvPr id="5" name="Text Box 12">
          <a:extLst>
            <a:ext uri="{FF2B5EF4-FFF2-40B4-BE49-F238E27FC236}">
              <a16:creationId xmlns:a16="http://schemas.microsoft.com/office/drawing/2014/main" id="{00000000-0008-0000-0500-000005000000}"/>
            </a:ext>
          </a:extLst>
        </xdr:cNvPr>
        <xdr:cNvSpPr txBox="1">
          <a:spLocks noChangeArrowheads="1"/>
        </xdr:cNvSpPr>
      </xdr:nvSpPr>
      <xdr:spPr bwMode="auto">
        <a:xfrm>
          <a:off x="87086" y="9810206"/>
          <a:ext cx="3058795" cy="2344783"/>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pPr marL="0" indent="0"/>
          <a:r>
            <a:rPr lang="fr-CA" sz="1200" b="1" i="0" u="dbl" strike="noStrike" baseline="0">
              <a:solidFill>
                <a:srgbClr val="000000"/>
              </a:solidFill>
              <a:effectLst/>
              <a:latin typeface="Arial"/>
              <a:ea typeface="+mn-ea"/>
              <a:cs typeface="Arial"/>
            </a:rPr>
            <a:t>Dimension A</a:t>
          </a:r>
        </a:p>
        <a:p>
          <a:pPr marL="0" indent="0"/>
          <a:endParaRPr lang="fr-CA" sz="1200" b="1" i="0" u="dbl" strike="noStrike" baseline="0">
            <a:solidFill>
              <a:srgbClr val="000000"/>
            </a:solidFill>
            <a:effectLst/>
            <a:latin typeface="Arial"/>
            <a:ea typeface="+mn-ea"/>
            <a:cs typeface="Arial"/>
          </a:endParaRPr>
        </a:p>
        <a:p>
          <a:pPr lvl="0"/>
          <a:r>
            <a:rPr lang="fr-CA" sz="1100">
              <a:solidFill>
                <a:srgbClr val="000000"/>
              </a:solidFill>
              <a:effectLst/>
              <a:latin typeface="+mn-lt"/>
              <a:ea typeface="+mn-ea"/>
              <a:cs typeface="+mn-cs"/>
            </a:rPr>
            <a:t>Présenter aux élèves l’intention pédagogique des situations d’enseignement et d’apprentissage, les compétences visées, les consignes à suivre, les attentes établies et le déroulement de ces situations tout en mettant en évidence leur pertinence au regard des apprentissages antérieurs et ultérieurs.</a:t>
          </a:r>
        </a:p>
      </xdr:txBody>
    </xdr:sp>
    <xdr:clientData fPrintsWithSheet="0"/>
  </xdr:twoCellAnchor>
  <xdr:twoCellAnchor>
    <xdr:from>
      <xdr:col>0</xdr:col>
      <xdr:colOff>87086</xdr:colOff>
      <xdr:row>51</xdr:row>
      <xdr:rowOff>125096</xdr:rowOff>
    </xdr:from>
    <xdr:to>
      <xdr:col>1</xdr:col>
      <xdr:colOff>1499961</xdr:colOff>
      <xdr:row>53</xdr:row>
      <xdr:rowOff>153148</xdr:rowOff>
    </xdr:to>
    <xdr:sp macro="" textlink="">
      <xdr:nvSpPr>
        <xdr:cNvPr id="9" name="Text Box 12">
          <a:extLst>
            <a:ext uri="{FF2B5EF4-FFF2-40B4-BE49-F238E27FC236}">
              <a16:creationId xmlns:a16="http://schemas.microsoft.com/office/drawing/2014/main" id="{00000000-0008-0000-0500-000009000000}"/>
            </a:ext>
          </a:extLst>
        </xdr:cNvPr>
        <xdr:cNvSpPr txBox="1">
          <a:spLocks noChangeArrowheads="1"/>
        </xdr:cNvSpPr>
      </xdr:nvSpPr>
      <xdr:spPr bwMode="auto">
        <a:xfrm>
          <a:off x="87086" y="18443576"/>
          <a:ext cx="3058795" cy="2253092"/>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D</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Utiliser les rétroactions pour procéder à une vérification continuelle de la compréhension des concepts, des connaissances, des stratégies ou des règles en jeu.</a:t>
          </a:r>
          <a:endParaRPr lang="fr-CA" sz="1100">
            <a:solidFill>
              <a:srgbClr val="000000"/>
            </a:solidFill>
            <a:effectLst/>
            <a:latin typeface="+mn-lt"/>
            <a:ea typeface="+mn-ea"/>
            <a:cs typeface="+mn-cs"/>
          </a:endParaRPr>
        </a:p>
        <a:p>
          <a:pPr lvl="0"/>
          <a:endParaRPr lang="fr-CA" sz="1100">
            <a:solidFill>
              <a:srgbClr val="000000"/>
            </a:solidFill>
            <a:effectLst/>
            <a:latin typeface="+mn-lt"/>
            <a:ea typeface="+mn-ea"/>
            <a:cs typeface="+mn-cs"/>
          </a:endParaRPr>
        </a:p>
      </xdr:txBody>
    </xdr:sp>
    <xdr:clientData fPrintsWithSheet="0"/>
  </xdr:twoCellAnchor>
  <xdr:twoCellAnchor>
    <xdr:from>
      <xdr:col>0</xdr:col>
      <xdr:colOff>87086</xdr:colOff>
      <xdr:row>56</xdr:row>
      <xdr:rowOff>112183</xdr:rowOff>
    </xdr:from>
    <xdr:to>
      <xdr:col>1</xdr:col>
      <xdr:colOff>1499961</xdr:colOff>
      <xdr:row>58</xdr:row>
      <xdr:rowOff>132404</xdr:rowOff>
    </xdr:to>
    <xdr:sp macro="" textlink="">
      <xdr:nvSpPr>
        <xdr:cNvPr id="11" name="Text Box 12">
          <a:extLst>
            <a:ext uri="{FF2B5EF4-FFF2-40B4-BE49-F238E27FC236}">
              <a16:creationId xmlns:a16="http://schemas.microsoft.com/office/drawing/2014/main" id="{00000000-0008-0000-0500-00000B000000}"/>
            </a:ext>
          </a:extLst>
        </xdr:cNvPr>
        <xdr:cNvSpPr txBox="1">
          <a:spLocks noChangeArrowheads="1"/>
        </xdr:cNvSpPr>
      </xdr:nvSpPr>
      <xdr:spPr bwMode="auto">
        <a:xfrm>
          <a:off x="87086" y="21204343"/>
          <a:ext cx="3058795" cy="2245261"/>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E</a:t>
          </a:r>
          <a:endParaRPr lang="fr-CA" sz="1200">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Ajuster les modalités de travail en fonction de la nature des compétences à développer, de la complexité de la tâche, du temps disponible et du niveau de réussite des élèves.</a:t>
          </a:r>
        </a:p>
        <a:p>
          <a:endParaRPr lang="fr-CA" sz="1100">
            <a:solidFill>
              <a:srgbClr val="000000"/>
            </a:solidFill>
            <a:effectLst/>
            <a:latin typeface="+mn-lt"/>
            <a:ea typeface="+mn-ea"/>
            <a:cs typeface="+mn-cs"/>
          </a:endParaRPr>
        </a:p>
        <a:p>
          <a:pPr lvl="0"/>
          <a:endParaRPr lang="fr-CA" sz="1100">
            <a:solidFill>
              <a:srgbClr val="000000"/>
            </a:solidFill>
            <a:effectLst/>
            <a:latin typeface="+mn-lt"/>
            <a:ea typeface="+mn-ea"/>
            <a:cs typeface="+mn-cs"/>
          </a:endParaRPr>
        </a:p>
      </xdr:txBody>
    </xdr:sp>
    <xdr:clientData fPrintsWithSheet="0"/>
  </xdr:twoCellAnchor>
  <xdr:twoCellAnchor>
    <xdr:from>
      <xdr:col>0</xdr:col>
      <xdr:colOff>87086</xdr:colOff>
      <xdr:row>61</xdr:row>
      <xdr:rowOff>170392</xdr:rowOff>
    </xdr:from>
    <xdr:to>
      <xdr:col>1</xdr:col>
      <xdr:colOff>1499961</xdr:colOff>
      <xdr:row>63</xdr:row>
      <xdr:rowOff>114413</xdr:rowOff>
    </xdr:to>
    <xdr:sp macro="" textlink="">
      <xdr:nvSpPr>
        <xdr:cNvPr id="10" name="Text Box 12">
          <a:extLst>
            <a:ext uri="{FF2B5EF4-FFF2-40B4-BE49-F238E27FC236}">
              <a16:creationId xmlns:a16="http://schemas.microsoft.com/office/drawing/2014/main" id="{00000000-0008-0000-0500-00000A000000}"/>
            </a:ext>
          </a:extLst>
        </xdr:cNvPr>
        <xdr:cNvSpPr txBox="1">
          <a:spLocks noChangeArrowheads="1"/>
        </xdr:cNvSpPr>
      </xdr:nvSpPr>
      <xdr:spPr bwMode="auto">
        <a:xfrm>
          <a:off x="87086" y="24036232"/>
          <a:ext cx="3058795" cy="2260501"/>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F</a:t>
          </a:r>
          <a:endParaRPr lang="fr-CA" sz="1200">
            <a:solidFill>
              <a:srgbClr val="000000"/>
            </a:solidFill>
            <a:effectLst/>
          </a:endParaRPr>
        </a:p>
        <a:p>
          <a:endParaRPr lang="fr-CA" sz="1100">
            <a:solidFill>
              <a:srgbClr val="000000"/>
            </a:solidFill>
            <a:effectLst/>
            <a:latin typeface="+mn-lt"/>
            <a:ea typeface="+mn-ea"/>
            <a:cs typeface="+mn-cs"/>
          </a:endParaRPr>
        </a:p>
        <a:p>
          <a:pPr lvl="0"/>
          <a:r>
            <a:rPr lang="fr-CA" sz="1100">
              <a:solidFill>
                <a:srgbClr val="000000"/>
              </a:solidFill>
              <a:effectLst/>
              <a:latin typeface="+mn-lt"/>
              <a:ea typeface="+mn-ea"/>
              <a:cs typeface="+mn-cs"/>
            </a:rPr>
            <a:t>Proposer des occasions de retour réflexif pour favoriser chez les élèves la capacité de faire la synthèse des apprentissages effectués.</a:t>
          </a:r>
          <a:r>
            <a:rPr lang="fr-CA">
              <a:solidFill>
                <a:srgbClr val="000000"/>
              </a:solidFill>
              <a:effectLst/>
            </a:rPr>
            <a:t> </a:t>
          </a:r>
          <a:endParaRPr lang="fr-CA" sz="1100">
            <a:solidFill>
              <a:srgbClr val="000000"/>
            </a:solidFill>
            <a:effectLst/>
            <a:latin typeface="+mn-lt"/>
            <a:ea typeface="+mn-ea"/>
            <a:cs typeface="+mn-cs"/>
          </a:endParaRPr>
        </a:p>
      </xdr:txBody>
    </xdr:sp>
    <xdr:clientData fPrintsWithSheet="0"/>
  </xdr:twoCellAnchor>
  <xdr:twoCellAnchor>
    <xdr:from>
      <xdr:col>7</xdr:col>
      <xdr:colOff>731520</xdr:colOff>
      <xdr:row>40</xdr:row>
      <xdr:rowOff>792480</xdr:rowOff>
    </xdr:from>
    <xdr:to>
      <xdr:col>7</xdr:col>
      <xdr:colOff>1091520</xdr:colOff>
      <xdr:row>40</xdr:row>
      <xdr:rowOff>1042461</xdr:rowOff>
    </xdr:to>
    <xdr:sp macro="" textlink="">
      <xdr:nvSpPr>
        <xdr:cNvPr id="24" name="Flèche droite 7">
          <a:extLst>
            <a:ext uri="{FF2B5EF4-FFF2-40B4-BE49-F238E27FC236}">
              <a16:creationId xmlns:a16="http://schemas.microsoft.com/office/drawing/2014/main" id="{00000000-0008-0000-0500-000018000000}"/>
            </a:ext>
          </a:extLst>
        </xdr:cNvPr>
        <xdr:cNvSpPr/>
      </xdr:nvSpPr>
      <xdr:spPr>
        <a:xfrm>
          <a:off x="10828020" y="10363200"/>
          <a:ext cx="360000" cy="249981"/>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731520</xdr:colOff>
      <xdr:row>44</xdr:row>
      <xdr:rowOff>975625</xdr:rowOff>
    </xdr:from>
    <xdr:to>
      <xdr:col>7</xdr:col>
      <xdr:colOff>1091520</xdr:colOff>
      <xdr:row>44</xdr:row>
      <xdr:rowOff>1227047</xdr:rowOff>
    </xdr:to>
    <xdr:sp macro="" textlink="">
      <xdr:nvSpPr>
        <xdr:cNvPr id="25" name="Flèche droite 7">
          <a:extLst>
            <a:ext uri="{FF2B5EF4-FFF2-40B4-BE49-F238E27FC236}">
              <a16:creationId xmlns:a16="http://schemas.microsoft.com/office/drawing/2014/main" id="{00000000-0008-0000-0500-000019000000}"/>
            </a:ext>
          </a:extLst>
        </xdr:cNvPr>
        <xdr:cNvSpPr/>
      </xdr:nvSpPr>
      <xdr:spPr>
        <a:xfrm>
          <a:off x="10828020" y="13236205"/>
          <a:ext cx="360000" cy="25142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731520</xdr:colOff>
      <xdr:row>48</xdr:row>
      <xdr:rowOff>1177821</xdr:rowOff>
    </xdr:from>
    <xdr:to>
      <xdr:col>7</xdr:col>
      <xdr:colOff>1091520</xdr:colOff>
      <xdr:row>48</xdr:row>
      <xdr:rowOff>1429243</xdr:rowOff>
    </xdr:to>
    <xdr:sp macro="" textlink="">
      <xdr:nvSpPr>
        <xdr:cNvPr id="26" name="Flèche droite 7">
          <a:extLst>
            <a:ext uri="{FF2B5EF4-FFF2-40B4-BE49-F238E27FC236}">
              <a16:creationId xmlns:a16="http://schemas.microsoft.com/office/drawing/2014/main" id="{00000000-0008-0000-0500-00001A000000}"/>
            </a:ext>
          </a:extLst>
        </xdr:cNvPr>
        <xdr:cNvSpPr/>
      </xdr:nvSpPr>
      <xdr:spPr>
        <a:xfrm>
          <a:off x="10828020" y="16166361"/>
          <a:ext cx="360000" cy="25142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731520</xdr:colOff>
      <xdr:row>52</xdr:row>
      <xdr:rowOff>872081</xdr:rowOff>
    </xdr:from>
    <xdr:to>
      <xdr:col>7</xdr:col>
      <xdr:colOff>1091520</xdr:colOff>
      <xdr:row>52</xdr:row>
      <xdr:rowOff>1123503</xdr:rowOff>
    </xdr:to>
    <xdr:sp macro="" textlink="">
      <xdr:nvSpPr>
        <xdr:cNvPr id="27" name="Flèche droite 7">
          <a:extLst>
            <a:ext uri="{FF2B5EF4-FFF2-40B4-BE49-F238E27FC236}">
              <a16:creationId xmlns:a16="http://schemas.microsoft.com/office/drawing/2014/main" id="{00000000-0008-0000-0500-00001B000000}"/>
            </a:ext>
          </a:extLst>
        </xdr:cNvPr>
        <xdr:cNvSpPr/>
      </xdr:nvSpPr>
      <xdr:spPr>
        <a:xfrm>
          <a:off x="10828020" y="18817181"/>
          <a:ext cx="360000" cy="25142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731520</xdr:colOff>
      <xdr:row>57</xdr:row>
      <xdr:rowOff>675438</xdr:rowOff>
    </xdr:from>
    <xdr:to>
      <xdr:col>7</xdr:col>
      <xdr:colOff>1091520</xdr:colOff>
      <xdr:row>57</xdr:row>
      <xdr:rowOff>926860</xdr:rowOff>
    </xdr:to>
    <xdr:sp macro="" textlink="">
      <xdr:nvSpPr>
        <xdr:cNvPr id="28" name="Flèche droite 7">
          <a:extLst>
            <a:ext uri="{FF2B5EF4-FFF2-40B4-BE49-F238E27FC236}">
              <a16:creationId xmlns:a16="http://schemas.microsoft.com/office/drawing/2014/main" id="{00000000-0008-0000-0500-00001C000000}"/>
            </a:ext>
          </a:extLst>
        </xdr:cNvPr>
        <xdr:cNvSpPr/>
      </xdr:nvSpPr>
      <xdr:spPr>
        <a:xfrm>
          <a:off x="10828020" y="21348498"/>
          <a:ext cx="360000" cy="25142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731520</xdr:colOff>
      <xdr:row>62</xdr:row>
      <xdr:rowOff>848845</xdr:rowOff>
    </xdr:from>
    <xdr:to>
      <xdr:col>7</xdr:col>
      <xdr:colOff>1091520</xdr:colOff>
      <xdr:row>62</xdr:row>
      <xdr:rowOff>1100267</xdr:rowOff>
    </xdr:to>
    <xdr:sp macro="" textlink="">
      <xdr:nvSpPr>
        <xdr:cNvPr id="29" name="Flèche droite 7">
          <a:extLst>
            <a:ext uri="{FF2B5EF4-FFF2-40B4-BE49-F238E27FC236}">
              <a16:creationId xmlns:a16="http://schemas.microsoft.com/office/drawing/2014/main" id="{00000000-0008-0000-0500-00001D000000}"/>
            </a:ext>
          </a:extLst>
        </xdr:cNvPr>
        <xdr:cNvSpPr/>
      </xdr:nvSpPr>
      <xdr:spPr>
        <a:xfrm>
          <a:off x="10828020" y="24265105"/>
          <a:ext cx="360000" cy="25142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40</xdr:row>
      <xdr:rowOff>822960</xdr:rowOff>
    </xdr:from>
    <xdr:to>
      <xdr:col>1</xdr:col>
      <xdr:colOff>1944960</xdr:colOff>
      <xdr:row>40</xdr:row>
      <xdr:rowOff>1072941</xdr:rowOff>
    </xdr:to>
    <xdr:sp macro="" textlink="">
      <xdr:nvSpPr>
        <xdr:cNvPr id="37" name="Flèche droite 7">
          <a:extLst>
            <a:ext uri="{FF2B5EF4-FFF2-40B4-BE49-F238E27FC236}">
              <a16:creationId xmlns:a16="http://schemas.microsoft.com/office/drawing/2014/main" id="{00000000-0008-0000-0500-000025000000}"/>
            </a:ext>
          </a:extLst>
        </xdr:cNvPr>
        <xdr:cNvSpPr/>
      </xdr:nvSpPr>
      <xdr:spPr>
        <a:xfrm>
          <a:off x="3238500" y="10393680"/>
          <a:ext cx="360000" cy="249981"/>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44</xdr:row>
      <xdr:rowOff>1006105</xdr:rowOff>
    </xdr:from>
    <xdr:to>
      <xdr:col>1</xdr:col>
      <xdr:colOff>1944960</xdr:colOff>
      <xdr:row>44</xdr:row>
      <xdr:rowOff>1257527</xdr:rowOff>
    </xdr:to>
    <xdr:sp macro="" textlink="">
      <xdr:nvSpPr>
        <xdr:cNvPr id="38" name="Flèche droite 7">
          <a:extLst>
            <a:ext uri="{FF2B5EF4-FFF2-40B4-BE49-F238E27FC236}">
              <a16:creationId xmlns:a16="http://schemas.microsoft.com/office/drawing/2014/main" id="{00000000-0008-0000-0500-000026000000}"/>
            </a:ext>
          </a:extLst>
        </xdr:cNvPr>
        <xdr:cNvSpPr/>
      </xdr:nvSpPr>
      <xdr:spPr>
        <a:xfrm>
          <a:off x="3238500" y="13266685"/>
          <a:ext cx="360000" cy="25142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48</xdr:row>
      <xdr:rowOff>1208301</xdr:rowOff>
    </xdr:from>
    <xdr:to>
      <xdr:col>1</xdr:col>
      <xdr:colOff>1944960</xdr:colOff>
      <xdr:row>48</xdr:row>
      <xdr:rowOff>1459723</xdr:rowOff>
    </xdr:to>
    <xdr:sp macro="" textlink="">
      <xdr:nvSpPr>
        <xdr:cNvPr id="39" name="Flèche droite 7">
          <a:extLst>
            <a:ext uri="{FF2B5EF4-FFF2-40B4-BE49-F238E27FC236}">
              <a16:creationId xmlns:a16="http://schemas.microsoft.com/office/drawing/2014/main" id="{00000000-0008-0000-0500-000027000000}"/>
            </a:ext>
          </a:extLst>
        </xdr:cNvPr>
        <xdr:cNvSpPr/>
      </xdr:nvSpPr>
      <xdr:spPr>
        <a:xfrm>
          <a:off x="3238500" y="16196841"/>
          <a:ext cx="360000" cy="25142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52</xdr:row>
      <xdr:rowOff>902561</xdr:rowOff>
    </xdr:from>
    <xdr:to>
      <xdr:col>1</xdr:col>
      <xdr:colOff>1944960</xdr:colOff>
      <xdr:row>52</xdr:row>
      <xdr:rowOff>1153983</xdr:rowOff>
    </xdr:to>
    <xdr:sp macro="" textlink="">
      <xdr:nvSpPr>
        <xdr:cNvPr id="40" name="Flèche droite 7">
          <a:extLst>
            <a:ext uri="{FF2B5EF4-FFF2-40B4-BE49-F238E27FC236}">
              <a16:creationId xmlns:a16="http://schemas.microsoft.com/office/drawing/2014/main" id="{00000000-0008-0000-0500-000028000000}"/>
            </a:ext>
          </a:extLst>
        </xdr:cNvPr>
        <xdr:cNvSpPr/>
      </xdr:nvSpPr>
      <xdr:spPr>
        <a:xfrm>
          <a:off x="3238500" y="18847661"/>
          <a:ext cx="360000" cy="25142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57</xdr:row>
      <xdr:rowOff>705918</xdr:rowOff>
    </xdr:from>
    <xdr:to>
      <xdr:col>1</xdr:col>
      <xdr:colOff>1944960</xdr:colOff>
      <xdr:row>57</xdr:row>
      <xdr:rowOff>957340</xdr:rowOff>
    </xdr:to>
    <xdr:sp macro="" textlink="">
      <xdr:nvSpPr>
        <xdr:cNvPr id="41" name="Flèche droite 7">
          <a:extLst>
            <a:ext uri="{FF2B5EF4-FFF2-40B4-BE49-F238E27FC236}">
              <a16:creationId xmlns:a16="http://schemas.microsoft.com/office/drawing/2014/main" id="{00000000-0008-0000-0500-000029000000}"/>
            </a:ext>
          </a:extLst>
        </xdr:cNvPr>
        <xdr:cNvSpPr/>
      </xdr:nvSpPr>
      <xdr:spPr>
        <a:xfrm>
          <a:off x="3238500" y="21378978"/>
          <a:ext cx="360000" cy="25142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62</xdr:row>
      <xdr:rowOff>879325</xdr:rowOff>
    </xdr:from>
    <xdr:to>
      <xdr:col>1</xdr:col>
      <xdr:colOff>1944960</xdr:colOff>
      <xdr:row>62</xdr:row>
      <xdr:rowOff>1130747</xdr:rowOff>
    </xdr:to>
    <xdr:sp macro="" textlink="">
      <xdr:nvSpPr>
        <xdr:cNvPr id="42" name="Flèche droite 7">
          <a:extLst>
            <a:ext uri="{FF2B5EF4-FFF2-40B4-BE49-F238E27FC236}">
              <a16:creationId xmlns:a16="http://schemas.microsoft.com/office/drawing/2014/main" id="{00000000-0008-0000-0500-00002A000000}"/>
            </a:ext>
          </a:extLst>
        </xdr:cNvPr>
        <xdr:cNvSpPr/>
      </xdr:nvSpPr>
      <xdr:spPr>
        <a:xfrm>
          <a:off x="3238500" y="24295585"/>
          <a:ext cx="360000" cy="251422"/>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editAs="oneCell">
    <xdr:from>
      <xdr:col>4</xdr:col>
      <xdr:colOff>0</xdr:colOff>
      <xdr:row>37</xdr:row>
      <xdr:rowOff>0</xdr:rowOff>
    </xdr:from>
    <xdr:to>
      <xdr:col>5</xdr:col>
      <xdr:colOff>254372</xdr:colOff>
      <xdr:row>37</xdr:row>
      <xdr:rowOff>231774</xdr:rowOff>
    </xdr:to>
    <xdr:pic>
      <xdr:nvPicPr>
        <xdr:cNvPr id="43" name="Image 42">
          <a:extLst>
            <a:ext uri="{FF2B5EF4-FFF2-40B4-BE49-F238E27FC236}">
              <a16:creationId xmlns:a16="http://schemas.microsoft.com/office/drawing/2014/main" id="{00000000-0008-0000-0500-00002B000000}"/>
            </a:ext>
          </a:extLst>
        </xdr:cNvPr>
        <xdr:cNvPicPr>
          <a:picLocks noChangeAspect="1"/>
        </xdr:cNvPicPr>
      </xdr:nvPicPr>
      <xdr:blipFill>
        <a:blip xmlns:r="http://schemas.openxmlformats.org/officeDocument/2006/relationships" r:embed="rId2"/>
        <a:stretch>
          <a:fillRect/>
        </a:stretch>
      </xdr:blipFill>
      <xdr:spPr>
        <a:xfrm>
          <a:off x="5875020" y="8831580"/>
          <a:ext cx="254372" cy="231774"/>
        </a:xfrm>
        <a:prstGeom prst="rect">
          <a:avLst/>
        </a:prstGeom>
      </xdr:spPr>
    </xdr:pic>
    <xdr:clientData/>
  </xdr:twoCellAnchor>
  <xdr:twoCellAnchor>
    <xdr:from>
      <xdr:col>1</xdr:col>
      <xdr:colOff>0</xdr:colOff>
      <xdr:row>71</xdr:row>
      <xdr:rowOff>0</xdr:rowOff>
    </xdr:from>
    <xdr:to>
      <xdr:col>2</xdr:col>
      <xdr:colOff>0</xdr:colOff>
      <xdr:row>73</xdr:row>
      <xdr:rowOff>175259</xdr:rowOff>
    </xdr:to>
    <xdr:sp macro="" textlink="">
      <xdr:nvSpPr>
        <xdr:cNvPr id="12" name="Rectangle : coins arrondis 11" descr="Retour à la Présentation">
          <a:hlinkClick xmlns:r="http://schemas.openxmlformats.org/officeDocument/2006/relationships" r:id="rId4"/>
          <a:extLst>
            <a:ext uri="{FF2B5EF4-FFF2-40B4-BE49-F238E27FC236}">
              <a16:creationId xmlns:a16="http://schemas.microsoft.com/office/drawing/2014/main" id="{00000000-0008-0000-0500-00000C000000}"/>
            </a:ext>
          </a:extLst>
        </xdr:cNvPr>
        <xdr:cNvSpPr/>
      </xdr:nvSpPr>
      <xdr:spPr>
        <a:xfrm>
          <a:off x="2034540" y="27089100"/>
          <a:ext cx="2110740" cy="525779"/>
        </a:xfrm>
        <a:prstGeom prst="roundRect">
          <a:avLst/>
        </a:prstGeom>
        <a:solidFill>
          <a:srgbClr val="74B4B9"/>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Retour à la Présentation</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38100</xdr:rowOff>
    </xdr:from>
    <xdr:ext cx="1358900" cy="736600"/>
    <xdr:pic>
      <xdr:nvPicPr>
        <xdr:cNvPr id="2" name="logo_teluq_nb.eps" descr="Logo de l'Université TÉLUQ.">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38100"/>
          <a:ext cx="1358900" cy="736600"/>
        </a:xfrm>
        <a:prstGeom prst="rect">
          <a:avLst/>
        </a:prstGeom>
      </xdr:spPr>
    </xdr:pic>
    <xdr:clientData/>
  </xdr:oneCellAnchor>
  <xdr:twoCellAnchor>
    <xdr:from>
      <xdr:col>0</xdr:col>
      <xdr:colOff>0</xdr:colOff>
      <xdr:row>4</xdr:row>
      <xdr:rowOff>0</xdr:rowOff>
    </xdr:from>
    <xdr:to>
      <xdr:col>9</xdr:col>
      <xdr:colOff>30480</xdr:colOff>
      <xdr:row>11</xdr:row>
      <xdr:rowOff>114300</xdr:rowOff>
    </xdr:to>
    <xdr:sp macro="" textlink="">
      <xdr:nvSpPr>
        <xdr:cNvPr id="3" name="Text Box 12">
          <a:extLst>
            <a:ext uri="{FF2B5EF4-FFF2-40B4-BE49-F238E27FC236}">
              <a16:creationId xmlns:a16="http://schemas.microsoft.com/office/drawing/2014/main" id="{00000000-0008-0000-0600-000003000000}"/>
            </a:ext>
          </a:extLst>
        </xdr:cNvPr>
        <xdr:cNvSpPr txBox="1">
          <a:spLocks noChangeArrowheads="1"/>
        </xdr:cNvSpPr>
      </xdr:nvSpPr>
      <xdr:spPr bwMode="auto">
        <a:xfrm>
          <a:off x="0" y="1005840"/>
          <a:ext cx="17266920" cy="1341120"/>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a:r>
            <a:rPr lang="en-US" sz="1800" b="1" i="0" u="none" strike="noStrike" cap="all" baseline="0">
              <a:solidFill>
                <a:srgbClr val="000000"/>
              </a:solidFill>
              <a:effectLst/>
              <a:latin typeface="+mn-lt"/>
              <a:ea typeface="+mn-ea"/>
              <a:cs typeface="Arial"/>
            </a:rPr>
            <a:t>Champ 1 : six compétences spécialisées au cœur du travail fait avec et pour les élèves</a:t>
          </a:r>
          <a:endParaRPr lang="en-US" sz="1200" b="1" i="0" u="none" strike="noStrike" cap="all" baseline="0">
            <a:solidFill>
              <a:srgbClr val="000000"/>
            </a:solidFill>
            <a:effectLst/>
            <a:latin typeface="Arial"/>
            <a:ea typeface="+mn-ea"/>
            <a:cs typeface="Arial"/>
          </a:endParaRPr>
        </a:p>
        <a:p>
          <a:pPr algn="l"/>
          <a:endParaRPr lang="en-US" sz="1400" b="1" i="0" u="none" strike="noStrike" baseline="0">
            <a:solidFill>
              <a:srgbClr val="000000"/>
            </a:solidFill>
            <a:effectLst/>
            <a:latin typeface="Arial"/>
            <a:ea typeface="+mn-ea"/>
            <a:cs typeface="Arial"/>
          </a:endParaRPr>
        </a:p>
        <a:p>
          <a:pPr algn="l"/>
          <a:r>
            <a:rPr lang="en-US" sz="1400" b="1" i="0" u="none" strike="noStrike" baseline="0">
              <a:solidFill>
                <a:srgbClr val="000000"/>
              </a:solidFill>
              <a:effectLst/>
              <a:latin typeface="+mn-lt"/>
              <a:ea typeface="+mn-ea"/>
              <a:cs typeface="Arial"/>
            </a:rPr>
            <a:t>Compétence 5 : Évaluer les apprentissages</a:t>
          </a:r>
        </a:p>
        <a:p>
          <a:pPr algn="l"/>
          <a:r>
            <a:rPr lang="fr-CA" sz="1400" i="1">
              <a:solidFill>
                <a:srgbClr val="000000"/>
              </a:solidFill>
              <a:effectLst/>
              <a:latin typeface="+mn-lt"/>
              <a:ea typeface="+mn-ea"/>
              <a:cs typeface="+mn-cs"/>
            </a:rPr>
            <a:t>Développer, choisir et utiliser différentes modalités afin d’évaluer l’acquisition des connaissances et le développement des compétences chez les élèves.</a:t>
          </a:r>
        </a:p>
      </xdr:txBody>
    </xdr:sp>
    <xdr:clientData fPrintsWithSheet="0"/>
  </xdr:twoCellAnchor>
  <xdr:twoCellAnchor editAs="oneCell">
    <xdr:from>
      <xdr:col>5</xdr:col>
      <xdr:colOff>1325880</xdr:colOff>
      <xdr:row>23</xdr:row>
      <xdr:rowOff>318150</xdr:rowOff>
    </xdr:from>
    <xdr:to>
      <xdr:col>5</xdr:col>
      <xdr:colOff>1586683</xdr:colOff>
      <xdr:row>25</xdr:row>
      <xdr:rowOff>3785</xdr:rowOff>
    </xdr:to>
    <xdr:pic>
      <xdr:nvPicPr>
        <xdr:cNvPr id="6" name="Imag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2"/>
        <a:stretch>
          <a:fillRect/>
        </a:stretch>
      </xdr:blipFill>
      <xdr:spPr>
        <a:xfrm>
          <a:off x="7475220" y="5697870"/>
          <a:ext cx="260803" cy="241895"/>
        </a:xfrm>
        <a:prstGeom prst="rect">
          <a:avLst/>
        </a:prstGeom>
      </xdr:spPr>
    </xdr:pic>
    <xdr:clientData/>
  </xdr:twoCellAnchor>
  <xdr:twoCellAnchor editAs="oneCell">
    <xdr:from>
      <xdr:col>8</xdr:col>
      <xdr:colOff>1178561</xdr:colOff>
      <xdr:row>5</xdr:row>
      <xdr:rowOff>109764</xdr:rowOff>
    </xdr:from>
    <xdr:to>
      <xdr:col>8</xdr:col>
      <xdr:colOff>1894569</xdr:colOff>
      <xdr:row>9</xdr:row>
      <xdr:rowOff>67879</xdr:rowOff>
    </xdr:to>
    <xdr:pic>
      <xdr:nvPicPr>
        <xdr:cNvPr id="23" name="Image 22">
          <a:extLst>
            <a:ext uri="{FF2B5EF4-FFF2-40B4-BE49-F238E27FC236}">
              <a16:creationId xmlns:a16="http://schemas.microsoft.com/office/drawing/2014/main" id="{00000000-0008-0000-0600-000017000000}"/>
            </a:ext>
          </a:extLst>
        </xdr:cNvPr>
        <xdr:cNvPicPr>
          <a:picLocks noChangeAspect="1"/>
        </xdr:cNvPicPr>
      </xdr:nvPicPr>
      <xdr:blipFill>
        <a:blip xmlns:r="http://schemas.openxmlformats.org/officeDocument/2006/relationships" r:embed="rId3"/>
        <a:stretch>
          <a:fillRect/>
        </a:stretch>
      </xdr:blipFill>
      <xdr:spPr>
        <a:xfrm>
          <a:off x="13660121" y="1275624"/>
          <a:ext cx="716008" cy="659155"/>
        </a:xfrm>
        <a:prstGeom prst="rect">
          <a:avLst/>
        </a:prstGeom>
      </xdr:spPr>
    </xdr:pic>
    <xdr:clientData/>
  </xdr:twoCellAnchor>
  <xdr:twoCellAnchor>
    <xdr:from>
      <xdr:col>0</xdr:col>
      <xdr:colOff>89806</xdr:colOff>
      <xdr:row>43</xdr:row>
      <xdr:rowOff>95137</xdr:rowOff>
    </xdr:from>
    <xdr:to>
      <xdr:col>1</xdr:col>
      <xdr:colOff>1502681</xdr:colOff>
      <xdr:row>43</xdr:row>
      <xdr:rowOff>2070100</xdr:rowOff>
    </xdr:to>
    <xdr:sp macro="" textlink="">
      <xdr:nvSpPr>
        <xdr:cNvPr id="24" name="Text Box 12">
          <a:extLst>
            <a:ext uri="{FF2B5EF4-FFF2-40B4-BE49-F238E27FC236}">
              <a16:creationId xmlns:a16="http://schemas.microsoft.com/office/drawing/2014/main" id="{00000000-0008-0000-0600-000018000000}"/>
            </a:ext>
          </a:extLst>
        </xdr:cNvPr>
        <xdr:cNvSpPr txBox="1">
          <a:spLocks noChangeArrowheads="1"/>
        </xdr:cNvSpPr>
      </xdr:nvSpPr>
      <xdr:spPr bwMode="auto">
        <a:xfrm>
          <a:off x="89806" y="11555617"/>
          <a:ext cx="3333115" cy="1974963"/>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pPr marL="0" indent="0"/>
          <a:r>
            <a:rPr lang="fr-CA" sz="1200" b="1" i="0" u="dbl" strike="noStrike" baseline="0">
              <a:solidFill>
                <a:srgbClr val="000000"/>
              </a:solidFill>
              <a:effectLst/>
              <a:latin typeface="Arial"/>
              <a:ea typeface="+mn-ea"/>
              <a:cs typeface="Arial"/>
            </a:rPr>
            <a:t>Dimension A</a:t>
          </a:r>
        </a:p>
        <a:p>
          <a:pPr marL="0" indent="0"/>
          <a:endParaRPr lang="fr-CA" sz="1200" b="1" i="0" u="dbl" strike="noStrike" baseline="0">
            <a:solidFill>
              <a:srgbClr val="000000"/>
            </a:solidFill>
            <a:effectLst/>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Concevoir ou choisir des instruments ou des modalités d’évaluation qui s’appuient sur les programmes d’études et permettent de vérifier les apprentissages effectués par les élèves.</a:t>
          </a:r>
          <a:endParaRPr lang="fr-CA">
            <a:solidFill>
              <a:srgbClr val="000000"/>
            </a:solidFill>
            <a:effectLst/>
          </a:endParaRPr>
        </a:p>
        <a:p>
          <a:pPr lvl="0"/>
          <a:endParaRPr lang="fr-CA" sz="1100">
            <a:solidFill>
              <a:srgbClr val="000000"/>
            </a:solidFill>
            <a:effectLst/>
            <a:latin typeface="+mn-lt"/>
            <a:ea typeface="+mn-ea"/>
            <a:cs typeface="+mn-cs"/>
          </a:endParaRPr>
        </a:p>
      </xdr:txBody>
    </xdr:sp>
    <xdr:clientData fPrintsWithSheet="0"/>
  </xdr:twoCellAnchor>
  <xdr:twoCellAnchor>
    <xdr:from>
      <xdr:col>7</xdr:col>
      <xdr:colOff>887616</xdr:colOff>
      <xdr:row>43</xdr:row>
      <xdr:rowOff>784671</xdr:rowOff>
    </xdr:from>
    <xdr:to>
      <xdr:col>7</xdr:col>
      <xdr:colOff>1249680</xdr:colOff>
      <xdr:row>43</xdr:row>
      <xdr:rowOff>998946</xdr:rowOff>
    </xdr:to>
    <xdr:sp macro="" textlink="">
      <xdr:nvSpPr>
        <xdr:cNvPr id="26" name="Flèche droite 7">
          <a:extLst>
            <a:ext uri="{FF2B5EF4-FFF2-40B4-BE49-F238E27FC236}">
              <a16:creationId xmlns:a16="http://schemas.microsoft.com/office/drawing/2014/main" id="{00000000-0008-0000-0600-00001A000000}"/>
            </a:ext>
          </a:extLst>
        </xdr:cNvPr>
        <xdr:cNvSpPr/>
      </xdr:nvSpPr>
      <xdr:spPr>
        <a:xfrm>
          <a:off x="11220336" y="12245151"/>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89806</xdr:colOff>
      <xdr:row>47</xdr:row>
      <xdr:rowOff>145938</xdr:rowOff>
    </xdr:from>
    <xdr:to>
      <xdr:col>1</xdr:col>
      <xdr:colOff>1502681</xdr:colOff>
      <xdr:row>47</xdr:row>
      <xdr:rowOff>2129971</xdr:rowOff>
    </xdr:to>
    <xdr:sp macro="" textlink="">
      <xdr:nvSpPr>
        <xdr:cNvPr id="27" name="Text Box 12">
          <a:extLst>
            <a:ext uri="{FF2B5EF4-FFF2-40B4-BE49-F238E27FC236}">
              <a16:creationId xmlns:a16="http://schemas.microsoft.com/office/drawing/2014/main" id="{00000000-0008-0000-0600-00001B000000}"/>
            </a:ext>
          </a:extLst>
        </xdr:cNvPr>
        <xdr:cNvSpPr txBox="1">
          <a:spLocks noChangeArrowheads="1"/>
        </xdr:cNvSpPr>
      </xdr:nvSpPr>
      <xdr:spPr bwMode="auto">
        <a:xfrm>
          <a:off x="89806" y="14623938"/>
          <a:ext cx="3333115" cy="1984033"/>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B</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Utiliser des modalités d’évaluation appropriées pour l’objet évalué.</a:t>
          </a:r>
          <a:endParaRPr lang="fr-CA">
            <a:solidFill>
              <a:srgbClr val="000000"/>
            </a:solidFill>
            <a:effectLst/>
          </a:endParaRPr>
        </a:p>
        <a:p>
          <a:endParaRPr lang="fr-CA" sz="1100">
            <a:solidFill>
              <a:srgbClr val="000000"/>
            </a:solidFill>
            <a:effectLst/>
            <a:latin typeface="+mn-lt"/>
            <a:ea typeface="+mn-ea"/>
            <a:cs typeface="+mn-cs"/>
          </a:endParaRPr>
        </a:p>
      </xdr:txBody>
    </xdr:sp>
    <xdr:clientData fPrintsWithSheet="0"/>
  </xdr:twoCellAnchor>
  <xdr:twoCellAnchor>
    <xdr:from>
      <xdr:col>7</xdr:col>
      <xdr:colOff>887616</xdr:colOff>
      <xdr:row>47</xdr:row>
      <xdr:rowOff>712099</xdr:rowOff>
    </xdr:from>
    <xdr:to>
      <xdr:col>7</xdr:col>
      <xdr:colOff>1249680</xdr:colOff>
      <xdr:row>47</xdr:row>
      <xdr:rowOff>926374</xdr:rowOff>
    </xdr:to>
    <xdr:sp macro="" textlink="">
      <xdr:nvSpPr>
        <xdr:cNvPr id="29" name="Flèche droite 7">
          <a:extLst>
            <a:ext uri="{FF2B5EF4-FFF2-40B4-BE49-F238E27FC236}">
              <a16:creationId xmlns:a16="http://schemas.microsoft.com/office/drawing/2014/main" id="{00000000-0008-0000-0600-00001D000000}"/>
            </a:ext>
          </a:extLst>
        </xdr:cNvPr>
        <xdr:cNvSpPr/>
      </xdr:nvSpPr>
      <xdr:spPr>
        <a:xfrm>
          <a:off x="11220336" y="15190099"/>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89806</xdr:colOff>
      <xdr:row>51</xdr:row>
      <xdr:rowOff>182221</xdr:rowOff>
    </xdr:from>
    <xdr:to>
      <xdr:col>1</xdr:col>
      <xdr:colOff>1502681</xdr:colOff>
      <xdr:row>51</xdr:row>
      <xdr:rowOff>2182220</xdr:rowOff>
    </xdr:to>
    <xdr:sp macro="" textlink="">
      <xdr:nvSpPr>
        <xdr:cNvPr id="5" name="Text Box 12">
          <a:extLst>
            <a:ext uri="{FF2B5EF4-FFF2-40B4-BE49-F238E27FC236}">
              <a16:creationId xmlns:a16="http://schemas.microsoft.com/office/drawing/2014/main" id="{00000000-0008-0000-0600-000005000000}"/>
            </a:ext>
          </a:extLst>
        </xdr:cNvPr>
        <xdr:cNvSpPr txBox="1">
          <a:spLocks noChangeArrowheads="1"/>
        </xdr:cNvSpPr>
      </xdr:nvSpPr>
      <xdr:spPr bwMode="auto">
        <a:xfrm>
          <a:off x="89806" y="17708221"/>
          <a:ext cx="3333115" cy="1999999"/>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C</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Concevoir ou choisir des outils d’évaluation qui sont signifiants pour les élèves.</a:t>
          </a:r>
          <a:endParaRPr lang="fr-CA">
            <a:solidFill>
              <a:srgbClr val="000000"/>
            </a:solidFill>
            <a:effectLst/>
          </a:endParaRPr>
        </a:p>
        <a:p>
          <a:endParaRPr lang="fr-CA" sz="1100">
            <a:solidFill>
              <a:srgbClr val="000000"/>
            </a:solidFill>
            <a:effectLst/>
            <a:latin typeface="+mn-lt"/>
            <a:ea typeface="+mn-ea"/>
            <a:cs typeface="+mn-cs"/>
          </a:endParaRPr>
        </a:p>
      </xdr:txBody>
    </xdr:sp>
    <xdr:clientData fPrintsWithSheet="0"/>
  </xdr:twoCellAnchor>
  <xdr:twoCellAnchor>
    <xdr:from>
      <xdr:col>7</xdr:col>
      <xdr:colOff>887616</xdr:colOff>
      <xdr:row>51</xdr:row>
      <xdr:rowOff>717542</xdr:rowOff>
    </xdr:from>
    <xdr:to>
      <xdr:col>7</xdr:col>
      <xdr:colOff>1249680</xdr:colOff>
      <xdr:row>51</xdr:row>
      <xdr:rowOff>931817</xdr:rowOff>
    </xdr:to>
    <xdr:sp macro="" textlink="">
      <xdr:nvSpPr>
        <xdr:cNvPr id="8" name="Flèche droite 7">
          <a:extLst>
            <a:ext uri="{FF2B5EF4-FFF2-40B4-BE49-F238E27FC236}">
              <a16:creationId xmlns:a16="http://schemas.microsoft.com/office/drawing/2014/main" id="{00000000-0008-0000-0600-000008000000}"/>
            </a:ext>
          </a:extLst>
        </xdr:cNvPr>
        <xdr:cNvSpPr/>
      </xdr:nvSpPr>
      <xdr:spPr>
        <a:xfrm>
          <a:off x="11220336" y="18243542"/>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89806</xdr:colOff>
      <xdr:row>55</xdr:row>
      <xdr:rowOff>298337</xdr:rowOff>
    </xdr:from>
    <xdr:to>
      <xdr:col>1</xdr:col>
      <xdr:colOff>1502681</xdr:colOff>
      <xdr:row>56</xdr:row>
      <xdr:rowOff>83456</xdr:rowOff>
    </xdr:to>
    <xdr:sp macro="" textlink="">
      <xdr:nvSpPr>
        <xdr:cNvPr id="9" name="Text Box 12">
          <a:extLst>
            <a:ext uri="{FF2B5EF4-FFF2-40B4-BE49-F238E27FC236}">
              <a16:creationId xmlns:a16="http://schemas.microsoft.com/office/drawing/2014/main" id="{00000000-0008-0000-0600-000009000000}"/>
            </a:ext>
          </a:extLst>
        </xdr:cNvPr>
        <xdr:cNvSpPr txBox="1">
          <a:spLocks noChangeArrowheads="1"/>
        </xdr:cNvSpPr>
      </xdr:nvSpPr>
      <xdr:spPr bwMode="auto">
        <a:xfrm>
          <a:off x="89806" y="20811377"/>
          <a:ext cx="3333115" cy="2010159"/>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D</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Repérer les forces ainsi que les défis des élèves et prévoir des interventions appropriées qui favoriseront leurs apprentissages.</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7</xdr:col>
      <xdr:colOff>887616</xdr:colOff>
      <xdr:row>55</xdr:row>
      <xdr:rowOff>712099</xdr:rowOff>
    </xdr:from>
    <xdr:to>
      <xdr:col>7</xdr:col>
      <xdr:colOff>1249680</xdr:colOff>
      <xdr:row>55</xdr:row>
      <xdr:rowOff>926374</xdr:rowOff>
    </xdr:to>
    <xdr:sp macro="" textlink="">
      <xdr:nvSpPr>
        <xdr:cNvPr id="11" name="Flèche droite 7">
          <a:extLst>
            <a:ext uri="{FF2B5EF4-FFF2-40B4-BE49-F238E27FC236}">
              <a16:creationId xmlns:a16="http://schemas.microsoft.com/office/drawing/2014/main" id="{00000000-0008-0000-0600-00000B000000}"/>
            </a:ext>
          </a:extLst>
        </xdr:cNvPr>
        <xdr:cNvSpPr/>
      </xdr:nvSpPr>
      <xdr:spPr>
        <a:xfrm>
          <a:off x="11220336" y="21225139"/>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89806</xdr:colOff>
      <xdr:row>59</xdr:row>
      <xdr:rowOff>138679</xdr:rowOff>
    </xdr:from>
    <xdr:to>
      <xdr:col>1</xdr:col>
      <xdr:colOff>1502681</xdr:colOff>
      <xdr:row>59</xdr:row>
      <xdr:rowOff>2124528</xdr:rowOff>
    </xdr:to>
    <xdr:sp macro="" textlink="">
      <xdr:nvSpPr>
        <xdr:cNvPr id="12" name="Text Box 12">
          <a:extLst>
            <a:ext uri="{FF2B5EF4-FFF2-40B4-BE49-F238E27FC236}">
              <a16:creationId xmlns:a16="http://schemas.microsoft.com/office/drawing/2014/main" id="{00000000-0008-0000-0600-00000C000000}"/>
            </a:ext>
          </a:extLst>
        </xdr:cNvPr>
        <xdr:cNvSpPr txBox="1">
          <a:spLocks noChangeArrowheads="1"/>
        </xdr:cNvSpPr>
      </xdr:nvSpPr>
      <xdr:spPr bwMode="auto">
        <a:xfrm>
          <a:off x="89806" y="23730199"/>
          <a:ext cx="3333115" cy="1985849"/>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E</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Utiliser l’information récoltée par l’entremise des différentes modalités d’évaluation pour avoir une vue d’ensemble de son groupe-classe et planifier son enseignement en conséquence.</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7</xdr:col>
      <xdr:colOff>887616</xdr:colOff>
      <xdr:row>59</xdr:row>
      <xdr:rowOff>853614</xdr:rowOff>
    </xdr:from>
    <xdr:to>
      <xdr:col>7</xdr:col>
      <xdr:colOff>1249680</xdr:colOff>
      <xdr:row>59</xdr:row>
      <xdr:rowOff>1067889</xdr:rowOff>
    </xdr:to>
    <xdr:sp macro="" textlink="">
      <xdr:nvSpPr>
        <xdr:cNvPr id="14" name="Flèche droite 7">
          <a:extLst>
            <a:ext uri="{FF2B5EF4-FFF2-40B4-BE49-F238E27FC236}">
              <a16:creationId xmlns:a16="http://schemas.microsoft.com/office/drawing/2014/main" id="{00000000-0008-0000-0600-00000E000000}"/>
            </a:ext>
          </a:extLst>
        </xdr:cNvPr>
        <xdr:cNvSpPr/>
      </xdr:nvSpPr>
      <xdr:spPr>
        <a:xfrm>
          <a:off x="11220336" y="24445134"/>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89806</xdr:colOff>
      <xdr:row>64</xdr:row>
      <xdr:rowOff>50799</xdr:rowOff>
    </xdr:from>
    <xdr:to>
      <xdr:col>1</xdr:col>
      <xdr:colOff>1502681</xdr:colOff>
      <xdr:row>64</xdr:row>
      <xdr:rowOff>2101963</xdr:rowOff>
    </xdr:to>
    <xdr:sp macro="" textlink="">
      <xdr:nvSpPr>
        <xdr:cNvPr id="4" name="Text Box 12">
          <a:extLst>
            <a:ext uri="{FF2B5EF4-FFF2-40B4-BE49-F238E27FC236}">
              <a16:creationId xmlns:a16="http://schemas.microsoft.com/office/drawing/2014/main" id="{00000000-0008-0000-0600-000004000000}"/>
            </a:ext>
          </a:extLst>
        </xdr:cNvPr>
        <xdr:cNvSpPr txBox="1">
          <a:spLocks noChangeArrowheads="1"/>
        </xdr:cNvSpPr>
      </xdr:nvSpPr>
      <xdr:spPr bwMode="auto">
        <a:xfrm>
          <a:off x="89806" y="26812239"/>
          <a:ext cx="3333115" cy="2051164"/>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F</a:t>
          </a:r>
          <a:endParaRPr lang="fr-CA" sz="1200">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Donner des rétroactions fréquentes et constructives à l’élève pour lui permettre de se situer dans ses apprentissages et soutenir sa progression.</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89806</xdr:colOff>
      <xdr:row>68</xdr:row>
      <xdr:rowOff>34471</xdr:rowOff>
    </xdr:from>
    <xdr:to>
      <xdr:col>1</xdr:col>
      <xdr:colOff>1502681</xdr:colOff>
      <xdr:row>68</xdr:row>
      <xdr:rowOff>2085635</xdr:rowOff>
    </xdr:to>
    <xdr:sp macro="" textlink="">
      <xdr:nvSpPr>
        <xdr:cNvPr id="15" name="Text Box 12">
          <a:extLst>
            <a:ext uri="{FF2B5EF4-FFF2-40B4-BE49-F238E27FC236}">
              <a16:creationId xmlns:a16="http://schemas.microsoft.com/office/drawing/2014/main" id="{00000000-0008-0000-0600-00000F000000}"/>
            </a:ext>
          </a:extLst>
        </xdr:cNvPr>
        <xdr:cNvSpPr txBox="1">
          <a:spLocks noChangeArrowheads="1"/>
        </xdr:cNvSpPr>
      </xdr:nvSpPr>
      <xdr:spPr bwMode="auto">
        <a:xfrm>
          <a:off x="89806" y="29874391"/>
          <a:ext cx="3333115" cy="2051164"/>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G</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Prévoir des modalités d’évaluation variées pour offrir à tous les élèves l’occasion de démontrer les apprentissages effectués.</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89806</xdr:colOff>
      <xdr:row>73</xdr:row>
      <xdr:rowOff>188686</xdr:rowOff>
    </xdr:from>
    <xdr:to>
      <xdr:col>1</xdr:col>
      <xdr:colOff>1502681</xdr:colOff>
      <xdr:row>73</xdr:row>
      <xdr:rowOff>2239850</xdr:rowOff>
    </xdr:to>
    <xdr:sp macro="" textlink="">
      <xdr:nvSpPr>
        <xdr:cNvPr id="16" name="Text Box 12">
          <a:extLst>
            <a:ext uri="{FF2B5EF4-FFF2-40B4-BE49-F238E27FC236}">
              <a16:creationId xmlns:a16="http://schemas.microsoft.com/office/drawing/2014/main" id="{00000000-0008-0000-0600-000010000000}"/>
            </a:ext>
          </a:extLst>
        </xdr:cNvPr>
        <xdr:cNvSpPr txBox="1">
          <a:spLocks noChangeArrowheads="1"/>
        </xdr:cNvSpPr>
      </xdr:nvSpPr>
      <xdr:spPr bwMode="auto">
        <a:xfrm>
          <a:off x="89806" y="33107086"/>
          <a:ext cx="3333115" cy="2051164"/>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H</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Connaître et respecter les balises ministérielles en matière d’évaluation des élèves.</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89806</xdr:colOff>
      <xdr:row>79</xdr:row>
      <xdr:rowOff>275771</xdr:rowOff>
    </xdr:from>
    <xdr:to>
      <xdr:col>1</xdr:col>
      <xdr:colOff>1502681</xdr:colOff>
      <xdr:row>79</xdr:row>
      <xdr:rowOff>2326935</xdr:rowOff>
    </xdr:to>
    <xdr:sp macro="" textlink="">
      <xdr:nvSpPr>
        <xdr:cNvPr id="17" name="Text Box 12">
          <a:extLst>
            <a:ext uri="{FF2B5EF4-FFF2-40B4-BE49-F238E27FC236}">
              <a16:creationId xmlns:a16="http://schemas.microsoft.com/office/drawing/2014/main" id="{00000000-0008-0000-0600-000011000000}"/>
            </a:ext>
          </a:extLst>
        </xdr:cNvPr>
        <xdr:cNvSpPr txBox="1">
          <a:spLocks noChangeArrowheads="1"/>
        </xdr:cNvSpPr>
      </xdr:nvSpPr>
      <xdr:spPr bwMode="auto">
        <a:xfrm>
          <a:off x="89806" y="36577451"/>
          <a:ext cx="3333115" cy="2051164"/>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I</a:t>
          </a:r>
          <a:endParaRPr lang="fr-CA" sz="1200">
            <a:solidFill>
              <a:srgbClr val="000000"/>
            </a:solidFill>
            <a:effectLst/>
          </a:endParaRPr>
        </a:p>
        <a:p>
          <a:endParaRPr lang="fr-CA" sz="1100">
            <a:solidFill>
              <a:srgbClr val="000000"/>
            </a:solidFill>
            <a:effectLst/>
            <a:latin typeface="+mn-lt"/>
            <a:ea typeface="+mn-ea"/>
            <a:cs typeface="+mn-cs"/>
          </a:endParaRPr>
        </a:p>
        <a:p>
          <a:r>
            <a:rPr lang="fr-FR" sz="1100">
              <a:solidFill>
                <a:srgbClr val="000000"/>
              </a:solidFill>
              <a:effectLst/>
              <a:latin typeface="+mn-lt"/>
              <a:ea typeface="+mn-ea"/>
              <a:cs typeface="+mn-cs"/>
            </a:rPr>
            <a:t>Connaître et respecter les attentes des organismes scolaires relativement au partage et aux responsabilités en matière d’évaluation et de communication des résultats de celle-ci.</a:t>
          </a:r>
          <a:r>
            <a:rPr lang="fr-CA">
              <a:solidFill>
                <a:srgbClr val="000000"/>
              </a:solidFill>
              <a:effectLst/>
            </a:rPr>
            <a:t> </a:t>
          </a:r>
          <a:endParaRPr lang="fr-CA" sz="1100">
            <a:solidFill>
              <a:srgbClr val="000000"/>
            </a:solidFill>
            <a:effectLst/>
            <a:latin typeface="+mn-lt"/>
            <a:ea typeface="+mn-ea"/>
            <a:cs typeface="+mn-cs"/>
          </a:endParaRPr>
        </a:p>
      </xdr:txBody>
    </xdr:sp>
    <xdr:clientData fPrintsWithSheet="0"/>
  </xdr:twoCellAnchor>
  <xdr:twoCellAnchor>
    <xdr:from>
      <xdr:col>7</xdr:col>
      <xdr:colOff>887616</xdr:colOff>
      <xdr:row>64</xdr:row>
      <xdr:rowOff>657860</xdr:rowOff>
    </xdr:from>
    <xdr:to>
      <xdr:col>7</xdr:col>
      <xdr:colOff>1249680</xdr:colOff>
      <xdr:row>64</xdr:row>
      <xdr:rowOff>872135</xdr:rowOff>
    </xdr:to>
    <xdr:sp macro="" textlink="">
      <xdr:nvSpPr>
        <xdr:cNvPr id="33" name="Flèche droite 7">
          <a:extLst>
            <a:ext uri="{FF2B5EF4-FFF2-40B4-BE49-F238E27FC236}">
              <a16:creationId xmlns:a16="http://schemas.microsoft.com/office/drawing/2014/main" id="{00000000-0008-0000-0600-000021000000}"/>
            </a:ext>
          </a:extLst>
        </xdr:cNvPr>
        <xdr:cNvSpPr/>
      </xdr:nvSpPr>
      <xdr:spPr>
        <a:xfrm>
          <a:off x="11220336" y="2741930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887616</xdr:colOff>
      <xdr:row>68</xdr:row>
      <xdr:rowOff>594360</xdr:rowOff>
    </xdr:from>
    <xdr:to>
      <xdr:col>7</xdr:col>
      <xdr:colOff>1249680</xdr:colOff>
      <xdr:row>68</xdr:row>
      <xdr:rowOff>808635</xdr:rowOff>
    </xdr:to>
    <xdr:sp macro="" textlink="">
      <xdr:nvSpPr>
        <xdr:cNvPr id="34" name="Flèche droite 7">
          <a:extLst>
            <a:ext uri="{FF2B5EF4-FFF2-40B4-BE49-F238E27FC236}">
              <a16:creationId xmlns:a16="http://schemas.microsoft.com/office/drawing/2014/main" id="{00000000-0008-0000-0600-000022000000}"/>
            </a:ext>
          </a:extLst>
        </xdr:cNvPr>
        <xdr:cNvSpPr/>
      </xdr:nvSpPr>
      <xdr:spPr>
        <a:xfrm>
          <a:off x="11220336" y="3043428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887616</xdr:colOff>
      <xdr:row>73</xdr:row>
      <xdr:rowOff>759460</xdr:rowOff>
    </xdr:from>
    <xdr:to>
      <xdr:col>7</xdr:col>
      <xdr:colOff>1249680</xdr:colOff>
      <xdr:row>73</xdr:row>
      <xdr:rowOff>973735</xdr:rowOff>
    </xdr:to>
    <xdr:sp macro="" textlink="">
      <xdr:nvSpPr>
        <xdr:cNvPr id="35" name="Flèche droite 7">
          <a:extLst>
            <a:ext uri="{FF2B5EF4-FFF2-40B4-BE49-F238E27FC236}">
              <a16:creationId xmlns:a16="http://schemas.microsoft.com/office/drawing/2014/main" id="{00000000-0008-0000-0600-000023000000}"/>
            </a:ext>
          </a:extLst>
        </xdr:cNvPr>
        <xdr:cNvSpPr/>
      </xdr:nvSpPr>
      <xdr:spPr>
        <a:xfrm>
          <a:off x="11220336" y="3367786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887616</xdr:colOff>
      <xdr:row>79</xdr:row>
      <xdr:rowOff>797560</xdr:rowOff>
    </xdr:from>
    <xdr:to>
      <xdr:col>7</xdr:col>
      <xdr:colOff>1249680</xdr:colOff>
      <xdr:row>79</xdr:row>
      <xdr:rowOff>1011835</xdr:rowOff>
    </xdr:to>
    <xdr:sp macro="" textlink="">
      <xdr:nvSpPr>
        <xdr:cNvPr id="36" name="Flèche droite 7">
          <a:extLst>
            <a:ext uri="{FF2B5EF4-FFF2-40B4-BE49-F238E27FC236}">
              <a16:creationId xmlns:a16="http://schemas.microsoft.com/office/drawing/2014/main" id="{00000000-0008-0000-0600-000024000000}"/>
            </a:ext>
          </a:extLst>
        </xdr:cNvPr>
        <xdr:cNvSpPr/>
      </xdr:nvSpPr>
      <xdr:spPr>
        <a:xfrm>
          <a:off x="11220336" y="3709924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43</xdr:row>
      <xdr:rowOff>914400</xdr:rowOff>
    </xdr:from>
    <xdr:to>
      <xdr:col>1</xdr:col>
      <xdr:colOff>1947024</xdr:colOff>
      <xdr:row>43</xdr:row>
      <xdr:rowOff>1128675</xdr:rowOff>
    </xdr:to>
    <xdr:sp macro="" textlink="">
      <xdr:nvSpPr>
        <xdr:cNvPr id="18" name="Flèche droite 7">
          <a:extLst>
            <a:ext uri="{FF2B5EF4-FFF2-40B4-BE49-F238E27FC236}">
              <a16:creationId xmlns:a16="http://schemas.microsoft.com/office/drawing/2014/main" id="{00000000-0008-0000-0600-000012000000}"/>
            </a:ext>
          </a:extLst>
        </xdr:cNvPr>
        <xdr:cNvSpPr/>
      </xdr:nvSpPr>
      <xdr:spPr>
        <a:xfrm>
          <a:off x="3505200" y="1237488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47</xdr:row>
      <xdr:rowOff>841828</xdr:rowOff>
    </xdr:from>
    <xdr:to>
      <xdr:col>1</xdr:col>
      <xdr:colOff>1947024</xdr:colOff>
      <xdr:row>47</xdr:row>
      <xdr:rowOff>1056103</xdr:rowOff>
    </xdr:to>
    <xdr:sp macro="" textlink="">
      <xdr:nvSpPr>
        <xdr:cNvPr id="19" name="Flèche droite 7">
          <a:extLst>
            <a:ext uri="{FF2B5EF4-FFF2-40B4-BE49-F238E27FC236}">
              <a16:creationId xmlns:a16="http://schemas.microsoft.com/office/drawing/2014/main" id="{00000000-0008-0000-0600-000013000000}"/>
            </a:ext>
          </a:extLst>
        </xdr:cNvPr>
        <xdr:cNvSpPr/>
      </xdr:nvSpPr>
      <xdr:spPr>
        <a:xfrm>
          <a:off x="3505200" y="15319828"/>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51</xdr:row>
      <xdr:rowOff>847271</xdr:rowOff>
    </xdr:from>
    <xdr:to>
      <xdr:col>1</xdr:col>
      <xdr:colOff>1947024</xdr:colOff>
      <xdr:row>51</xdr:row>
      <xdr:rowOff>1061546</xdr:rowOff>
    </xdr:to>
    <xdr:sp macro="" textlink="">
      <xdr:nvSpPr>
        <xdr:cNvPr id="20" name="Flèche droite 7">
          <a:extLst>
            <a:ext uri="{FF2B5EF4-FFF2-40B4-BE49-F238E27FC236}">
              <a16:creationId xmlns:a16="http://schemas.microsoft.com/office/drawing/2014/main" id="{00000000-0008-0000-0600-000014000000}"/>
            </a:ext>
          </a:extLst>
        </xdr:cNvPr>
        <xdr:cNvSpPr/>
      </xdr:nvSpPr>
      <xdr:spPr>
        <a:xfrm>
          <a:off x="3505200" y="18373271"/>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55</xdr:row>
      <xdr:rowOff>841828</xdr:rowOff>
    </xdr:from>
    <xdr:to>
      <xdr:col>1</xdr:col>
      <xdr:colOff>1947024</xdr:colOff>
      <xdr:row>55</xdr:row>
      <xdr:rowOff>1056103</xdr:rowOff>
    </xdr:to>
    <xdr:sp macro="" textlink="">
      <xdr:nvSpPr>
        <xdr:cNvPr id="37" name="Flèche droite 7">
          <a:extLst>
            <a:ext uri="{FF2B5EF4-FFF2-40B4-BE49-F238E27FC236}">
              <a16:creationId xmlns:a16="http://schemas.microsoft.com/office/drawing/2014/main" id="{00000000-0008-0000-0600-000025000000}"/>
            </a:ext>
          </a:extLst>
        </xdr:cNvPr>
        <xdr:cNvSpPr/>
      </xdr:nvSpPr>
      <xdr:spPr>
        <a:xfrm>
          <a:off x="3505200" y="21354868"/>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59</xdr:row>
      <xdr:rowOff>983343</xdr:rowOff>
    </xdr:from>
    <xdr:to>
      <xdr:col>1</xdr:col>
      <xdr:colOff>1947024</xdr:colOff>
      <xdr:row>59</xdr:row>
      <xdr:rowOff>1197618</xdr:rowOff>
    </xdr:to>
    <xdr:sp macro="" textlink="">
      <xdr:nvSpPr>
        <xdr:cNvPr id="38" name="Flèche droite 7">
          <a:extLst>
            <a:ext uri="{FF2B5EF4-FFF2-40B4-BE49-F238E27FC236}">
              <a16:creationId xmlns:a16="http://schemas.microsoft.com/office/drawing/2014/main" id="{00000000-0008-0000-0600-000026000000}"/>
            </a:ext>
          </a:extLst>
        </xdr:cNvPr>
        <xdr:cNvSpPr/>
      </xdr:nvSpPr>
      <xdr:spPr>
        <a:xfrm>
          <a:off x="3505200" y="24574863"/>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64</xdr:row>
      <xdr:rowOff>787589</xdr:rowOff>
    </xdr:from>
    <xdr:to>
      <xdr:col>1</xdr:col>
      <xdr:colOff>1947024</xdr:colOff>
      <xdr:row>64</xdr:row>
      <xdr:rowOff>1001864</xdr:rowOff>
    </xdr:to>
    <xdr:sp macro="" textlink="">
      <xdr:nvSpPr>
        <xdr:cNvPr id="39" name="Flèche droite 7">
          <a:extLst>
            <a:ext uri="{FF2B5EF4-FFF2-40B4-BE49-F238E27FC236}">
              <a16:creationId xmlns:a16="http://schemas.microsoft.com/office/drawing/2014/main" id="{00000000-0008-0000-0600-000027000000}"/>
            </a:ext>
          </a:extLst>
        </xdr:cNvPr>
        <xdr:cNvSpPr/>
      </xdr:nvSpPr>
      <xdr:spPr>
        <a:xfrm>
          <a:off x="3505200" y="27549029"/>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68</xdr:row>
      <xdr:rowOff>724089</xdr:rowOff>
    </xdr:from>
    <xdr:to>
      <xdr:col>1</xdr:col>
      <xdr:colOff>1947024</xdr:colOff>
      <xdr:row>68</xdr:row>
      <xdr:rowOff>938364</xdr:rowOff>
    </xdr:to>
    <xdr:sp macro="" textlink="">
      <xdr:nvSpPr>
        <xdr:cNvPr id="40" name="Flèche droite 7">
          <a:extLst>
            <a:ext uri="{FF2B5EF4-FFF2-40B4-BE49-F238E27FC236}">
              <a16:creationId xmlns:a16="http://schemas.microsoft.com/office/drawing/2014/main" id="{00000000-0008-0000-0600-000028000000}"/>
            </a:ext>
          </a:extLst>
        </xdr:cNvPr>
        <xdr:cNvSpPr/>
      </xdr:nvSpPr>
      <xdr:spPr>
        <a:xfrm>
          <a:off x="3505200" y="30564009"/>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73</xdr:row>
      <xdr:rowOff>889189</xdr:rowOff>
    </xdr:from>
    <xdr:to>
      <xdr:col>1</xdr:col>
      <xdr:colOff>1947024</xdr:colOff>
      <xdr:row>73</xdr:row>
      <xdr:rowOff>1103464</xdr:rowOff>
    </xdr:to>
    <xdr:sp macro="" textlink="">
      <xdr:nvSpPr>
        <xdr:cNvPr id="41" name="Flèche droite 7">
          <a:extLst>
            <a:ext uri="{FF2B5EF4-FFF2-40B4-BE49-F238E27FC236}">
              <a16:creationId xmlns:a16="http://schemas.microsoft.com/office/drawing/2014/main" id="{00000000-0008-0000-0600-000029000000}"/>
            </a:ext>
          </a:extLst>
        </xdr:cNvPr>
        <xdr:cNvSpPr/>
      </xdr:nvSpPr>
      <xdr:spPr>
        <a:xfrm>
          <a:off x="3505200" y="33807589"/>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1584960</xdr:colOff>
      <xdr:row>79</xdr:row>
      <xdr:rowOff>927289</xdr:rowOff>
    </xdr:from>
    <xdr:to>
      <xdr:col>1</xdr:col>
      <xdr:colOff>1947024</xdr:colOff>
      <xdr:row>79</xdr:row>
      <xdr:rowOff>1141564</xdr:rowOff>
    </xdr:to>
    <xdr:sp macro="" textlink="">
      <xdr:nvSpPr>
        <xdr:cNvPr id="42" name="Flèche droite 7">
          <a:extLst>
            <a:ext uri="{FF2B5EF4-FFF2-40B4-BE49-F238E27FC236}">
              <a16:creationId xmlns:a16="http://schemas.microsoft.com/office/drawing/2014/main" id="{00000000-0008-0000-0600-00002A000000}"/>
            </a:ext>
          </a:extLst>
        </xdr:cNvPr>
        <xdr:cNvSpPr/>
      </xdr:nvSpPr>
      <xdr:spPr>
        <a:xfrm>
          <a:off x="3505200" y="37228969"/>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editAs="oneCell">
    <xdr:from>
      <xdr:col>4</xdr:col>
      <xdr:colOff>0</xdr:colOff>
      <xdr:row>40</xdr:row>
      <xdr:rowOff>0</xdr:rowOff>
    </xdr:from>
    <xdr:to>
      <xdr:col>5</xdr:col>
      <xdr:colOff>254372</xdr:colOff>
      <xdr:row>40</xdr:row>
      <xdr:rowOff>231774</xdr:rowOff>
    </xdr:to>
    <xdr:pic>
      <xdr:nvPicPr>
        <xdr:cNvPr id="43" name="Image 42">
          <a:extLst>
            <a:ext uri="{FF2B5EF4-FFF2-40B4-BE49-F238E27FC236}">
              <a16:creationId xmlns:a16="http://schemas.microsoft.com/office/drawing/2014/main" id="{00000000-0008-0000-0600-00002B000000}"/>
            </a:ext>
          </a:extLst>
        </xdr:cNvPr>
        <xdr:cNvPicPr>
          <a:picLocks noChangeAspect="1"/>
        </xdr:cNvPicPr>
      </xdr:nvPicPr>
      <xdr:blipFill>
        <a:blip xmlns:r="http://schemas.openxmlformats.org/officeDocument/2006/relationships" r:embed="rId2"/>
        <a:stretch>
          <a:fillRect/>
        </a:stretch>
      </xdr:blipFill>
      <xdr:spPr>
        <a:xfrm>
          <a:off x="6149340" y="9875520"/>
          <a:ext cx="254372" cy="231774"/>
        </a:xfrm>
        <a:prstGeom prst="rect">
          <a:avLst/>
        </a:prstGeom>
      </xdr:spPr>
    </xdr:pic>
    <xdr:clientData/>
  </xdr:twoCellAnchor>
  <xdr:twoCellAnchor>
    <xdr:from>
      <xdr:col>1</xdr:col>
      <xdr:colOff>0</xdr:colOff>
      <xdr:row>86</xdr:row>
      <xdr:rowOff>1</xdr:rowOff>
    </xdr:from>
    <xdr:to>
      <xdr:col>2</xdr:col>
      <xdr:colOff>0</xdr:colOff>
      <xdr:row>89</xdr:row>
      <xdr:rowOff>0</xdr:rowOff>
    </xdr:to>
    <xdr:sp macro="" textlink="">
      <xdr:nvSpPr>
        <xdr:cNvPr id="21" name="Rectangle : coins arrondis 20" descr="Retour à la Présentation">
          <a:hlinkClick xmlns:r="http://schemas.openxmlformats.org/officeDocument/2006/relationships" r:id="rId4"/>
          <a:extLst>
            <a:ext uri="{FF2B5EF4-FFF2-40B4-BE49-F238E27FC236}">
              <a16:creationId xmlns:a16="http://schemas.microsoft.com/office/drawing/2014/main" id="{00000000-0008-0000-0600-000015000000}"/>
            </a:ext>
          </a:extLst>
        </xdr:cNvPr>
        <xdr:cNvSpPr/>
      </xdr:nvSpPr>
      <xdr:spPr>
        <a:xfrm>
          <a:off x="2034540" y="38793421"/>
          <a:ext cx="2110740" cy="525779"/>
        </a:xfrm>
        <a:prstGeom prst="roundRect">
          <a:avLst/>
        </a:prstGeom>
        <a:solidFill>
          <a:srgbClr val="74B4B9"/>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Retour à la Présentation</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76200</xdr:colOff>
      <xdr:row>0</xdr:row>
      <xdr:rowOff>38100</xdr:rowOff>
    </xdr:from>
    <xdr:ext cx="1358900" cy="736600"/>
    <xdr:pic>
      <xdr:nvPicPr>
        <xdr:cNvPr id="2" name="logo_teluq_nb.eps" descr="Logo de l'Université TÉLUQ.">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38100"/>
          <a:ext cx="1358900" cy="736600"/>
        </a:xfrm>
        <a:prstGeom prst="rect">
          <a:avLst/>
        </a:prstGeom>
      </xdr:spPr>
    </xdr:pic>
    <xdr:clientData/>
  </xdr:oneCellAnchor>
  <xdr:twoCellAnchor>
    <xdr:from>
      <xdr:col>0</xdr:col>
      <xdr:colOff>0</xdr:colOff>
      <xdr:row>4</xdr:row>
      <xdr:rowOff>0</xdr:rowOff>
    </xdr:from>
    <xdr:to>
      <xdr:col>9</xdr:col>
      <xdr:colOff>30480</xdr:colOff>
      <xdr:row>11</xdr:row>
      <xdr:rowOff>114300</xdr:rowOff>
    </xdr:to>
    <xdr:sp macro="" textlink="">
      <xdr:nvSpPr>
        <xdr:cNvPr id="3" name="Text Box 12">
          <a:extLst>
            <a:ext uri="{FF2B5EF4-FFF2-40B4-BE49-F238E27FC236}">
              <a16:creationId xmlns:a16="http://schemas.microsoft.com/office/drawing/2014/main" id="{00000000-0008-0000-0700-000003000000}"/>
            </a:ext>
          </a:extLst>
        </xdr:cNvPr>
        <xdr:cNvSpPr txBox="1">
          <a:spLocks noChangeArrowheads="1"/>
        </xdr:cNvSpPr>
      </xdr:nvSpPr>
      <xdr:spPr bwMode="auto">
        <a:xfrm>
          <a:off x="0" y="1005840"/>
          <a:ext cx="17266920" cy="1341120"/>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a:r>
            <a:rPr lang="en-US" sz="1800" b="1" i="0" u="none" strike="noStrike" cap="all" baseline="0">
              <a:solidFill>
                <a:srgbClr val="000000"/>
              </a:solidFill>
              <a:effectLst/>
              <a:latin typeface="+mn-lt"/>
              <a:ea typeface="+mn-ea"/>
              <a:cs typeface="Arial"/>
            </a:rPr>
            <a:t>Champ 1 : six compétences spécialisées au cœur du travail fait avec et pour les élèves</a:t>
          </a:r>
          <a:endParaRPr lang="en-US" sz="1200" b="1" i="0" u="none" strike="noStrike" cap="all" baseline="0">
            <a:solidFill>
              <a:srgbClr val="000000"/>
            </a:solidFill>
            <a:effectLst/>
            <a:latin typeface="Arial"/>
            <a:ea typeface="+mn-ea"/>
            <a:cs typeface="Arial"/>
          </a:endParaRPr>
        </a:p>
        <a:p>
          <a:pPr algn="l"/>
          <a:endParaRPr lang="en-US" sz="1400" b="1" i="0" u="none" strike="noStrike" baseline="0">
            <a:solidFill>
              <a:srgbClr val="000000"/>
            </a:solidFill>
            <a:effectLst/>
            <a:latin typeface="Arial"/>
            <a:ea typeface="+mn-ea"/>
            <a:cs typeface="Arial"/>
          </a:endParaRPr>
        </a:p>
        <a:p>
          <a:pPr algn="l"/>
          <a:r>
            <a:rPr lang="en-US" sz="1400" b="1" i="0" u="none" strike="noStrike" baseline="0">
              <a:solidFill>
                <a:srgbClr val="000000"/>
              </a:solidFill>
              <a:effectLst/>
              <a:latin typeface="Arial"/>
              <a:ea typeface="+mn-ea"/>
              <a:cs typeface="Arial"/>
            </a:rPr>
            <a:t>Compétence 6 :</a:t>
          </a:r>
          <a:r>
            <a:rPr lang="fr-CA" sz="1400" b="1">
              <a:solidFill>
                <a:srgbClr val="000000"/>
              </a:solidFill>
              <a:effectLst/>
              <a:latin typeface="+mn-lt"/>
              <a:ea typeface="+mn-ea"/>
              <a:cs typeface="+mn-cs"/>
            </a:rPr>
            <a:t> Gérer le fonctionnement du groupe-classe</a:t>
          </a:r>
        </a:p>
        <a:p>
          <a:pPr algn="l"/>
          <a:r>
            <a:rPr lang="fr-CA" sz="1400" i="1">
              <a:solidFill>
                <a:srgbClr val="000000"/>
              </a:solidFill>
              <a:effectLst/>
              <a:latin typeface="+mn-lt"/>
              <a:ea typeface="+mn-ea"/>
              <a:cs typeface="+mn-cs"/>
            </a:rPr>
            <a:t>Organiser et gérer le fonctionnement du groupe-classe de sorte à maximiser le développement, l’apprentissage et la socialisation des élèves.</a:t>
          </a:r>
        </a:p>
      </xdr:txBody>
    </xdr:sp>
    <xdr:clientData fPrintsWithSheet="0"/>
  </xdr:twoCellAnchor>
  <xdr:twoCellAnchor editAs="oneCell">
    <xdr:from>
      <xdr:col>8</xdr:col>
      <xdr:colOff>363311</xdr:colOff>
      <xdr:row>4</xdr:row>
      <xdr:rowOff>137251</xdr:rowOff>
    </xdr:from>
    <xdr:to>
      <xdr:col>8</xdr:col>
      <xdr:colOff>1028519</xdr:colOff>
      <xdr:row>8</xdr:row>
      <xdr:rowOff>44902</xdr:rowOff>
    </xdr:to>
    <xdr:pic>
      <xdr:nvPicPr>
        <xdr:cNvPr id="8" name="Image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2"/>
        <a:stretch>
          <a:fillRect/>
        </a:stretch>
      </xdr:blipFill>
      <xdr:spPr>
        <a:xfrm>
          <a:off x="13763625" y="1149622"/>
          <a:ext cx="665208" cy="604337"/>
        </a:xfrm>
        <a:prstGeom prst="rect">
          <a:avLst/>
        </a:prstGeom>
      </xdr:spPr>
    </xdr:pic>
    <xdr:clientData/>
  </xdr:twoCellAnchor>
  <xdr:twoCellAnchor>
    <xdr:from>
      <xdr:col>0</xdr:col>
      <xdr:colOff>73477</xdr:colOff>
      <xdr:row>44</xdr:row>
      <xdr:rowOff>6238</xdr:rowOff>
    </xdr:from>
    <xdr:to>
      <xdr:col>1</xdr:col>
      <xdr:colOff>1486352</xdr:colOff>
      <xdr:row>44</xdr:row>
      <xdr:rowOff>2024744</xdr:rowOff>
    </xdr:to>
    <xdr:sp macro="" textlink="">
      <xdr:nvSpPr>
        <xdr:cNvPr id="9" name="Text Box 12">
          <a:extLst>
            <a:ext uri="{FF2B5EF4-FFF2-40B4-BE49-F238E27FC236}">
              <a16:creationId xmlns:a16="http://schemas.microsoft.com/office/drawing/2014/main" id="{00000000-0008-0000-0700-000009000000}"/>
            </a:ext>
          </a:extLst>
        </xdr:cNvPr>
        <xdr:cNvSpPr txBox="1">
          <a:spLocks noChangeArrowheads="1"/>
        </xdr:cNvSpPr>
      </xdr:nvSpPr>
      <xdr:spPr bwMode="auto">
        <a:xfrm>
          <a:off x="73477" y="11009518"/>
          <a:ext cx="3180715" cy="2018506"/>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pPr marL="0" indent="0"/>
          <a:r>
            <a:rPr lang="fr-CA" sz="1200" b="1" i="0" u="dbl" strike="noStrike" baseline="0">
              <a:solidFill>
                <a:srgbClr val="000000"/>
              </a:solidFill>
              <a:effectLst/>
              <a:latin typeface="Arial"/>
              <a:ea typeface="+mn-ea"/>
              <a:cs typeface="Arial"/>
            </a:rPr>
            <a:t>Dimension A</a:t>
          </a:r>
        </a:p>
        <a:p>
          <a:pPr marL="0" indent="0"/>
          <a:endParaRPr lang="fr-CA" sz="1200" b="1" i="0" u="dbl" strike="noStrike" baseline="0">
            <a:solidFill>
              <a:srgbClr val="000000"/>
            </a:solidFill>
            <a:effectLst/>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Construire et maintenir des relations positives avec les élèves pour susciter leur adhésion et leur contribution au fonctionnement de la classe.</a:t>
          </a:r>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CA" sz="1200">
            <a:solidFill>
              <a:srgbClr val="000000"/>
            </a:solidFill>
            <a:effectLst/>
          </a:endParaRPr>
        </a:p>
        <a:p>
          <a:pPr marL="0" indent="0"/>
          <a:endParaRPr lang="fr-CA" sz="1200" b="1" i="0" u="dbl" strike="noStrike" baseline="0">
            <a:solidFill>
              <a:srgbClr val="000000"/>
            </a:solidFill>
            <a:effectLst/>
            <a:latin typeface="Arial"/>
            <a:ea typeface="+mn-ea"/>
            <a:cs typeface="Arial"/>
          </a:endParaRPr>
        </a:p>
      </xdr:txBody>
    </xdr:sp>
    <xdr:clientData fPrintsWithSheet="0"/>
  </xdr:twoCellAnchor>
  <xdr:twoCellAnchor>
    <xdr:from>
      <xdr:col>0</xdr:col>
      <xdr:colOff>73477</xdr:colOff>
      <xdr:row>47</xdr:row>
      <xdr:rowOff>169525</xdr:rowOff>
    </xdr:from>
    <xdr:to>
      <xdr:col>1</xdr:col>
      <xdr:colOff>1486352</xdr:colOff>
      <xdr:row>49</xdr:row>
      <xdr:rowOff>43544</xdr:rowOff>
    </xdr:to>
    <xdr:sp macro="" textlink="">
      <xdr:nvSpPr>
        <xdr:cNvPr id="13" name="Text Box 12">
          <a:extLst>
            <a:ext uri="{FF2B5EF4-FFF2-40B4-BE49-F238E27FC236}">
              <a16:creationId xmlns:a16="http://schemas.microsoft.com/office/drawing/2014/main" id="{00000000-0008-0000-0700-00000D000000}"/>
            </a:ext>
          </a:extLst>
        </xdr:cNvPr>
        <xdr:cNvSpPr txBox="1">
          <a:spLocks noChangeArrowheads="1"/>
        </xdr:cNvSpPr>
      </xdr:nvSpPr>
      <xdr:spPr bwMode="auto">
        <a:xfrm>
          <a:off x="73477" y="13672165"/>
          <a:ext cx="3180715" cy="2099059"/>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B</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Instaurer, de concert avec les élèves, un climat de classe respectueux et sécurisant favorisant la progression des apprentissages et revoir périodiquement avec eux les comportements attendus.</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73477</xdr:colOff>
      <xdr:row>51</xdr:row>
      <xdr:rowOff>125980</xdr:rowOff>
    </xdr:from>
    <xdr:to>
      <xdr:col>1</xdr:col>
      <xdr:colOff>1486352</xdr:colOff>
      <xdr:row>52</xdr:row>
      <xdr:rowOff>2046514</xdr:rowOff>
    </xdr:to>
    <xdr:sp macro="" textlink="">
      <xdr:nvSpPr>
        <xdr:cNvPr id="16" name="Text Box 12">
          <a:extLst>
            <a:ext uri="{FF2B5EF4-FFF2-40B4-BE49-F238E27FC236}">
              <a16:creationId xmlns:a16="http://schemas.microsoft.com/office/drawing/2014/main" id="{00000000-0008-0000-0700-000010000000}"/>
            </a:ext>
          </a:extLst>
        </xdr:cNvPr>
        <xdr:cNvSpPr txBox="1">
          <a:spLocks noChangeArrowheads="1"/>
        </xdr:cNvSpPr>
      </xdr:nvSpPr>
      <xdr:spPr bwMode="auto">
        <a:xfrm>
          <a:off x="73477" y="16219420"/>
          <a:ext cx="3180715" cy="2103414"/>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C</a:t>
          </a:r>
          <a:endParaRPr lang="fr-CA" sz="1200">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Aider les élèves à reconnaître et à gérer adéquatement leurs comportements et leurs émotions.</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73477</xdr:colOff>
      <xdr:row>56</xdr:row>
      <xdr:rowOff>83458</xdr:rowOff>
    </xdr:from>
    <xdr:to>
      <xdr:col>1</xdr:col>
      <xdr:colOff>1504343</xdr:colOff>
      <xdr:row>56</xdr:row>
      <xdr:rowOff>2072935</xdr:rowOff>
    </xdr:to>
    <xdr:sp macro="" textlink="">
      <xdr:nvSpPr>
        <xdr:cNvPr id="4" name="Text Box 12">
          <a:extLst>
            <a:ext uri="{FF2B5EF4-FFF2-40B4-BE49-F238E27FC236}">
              <a16:creationId xmlns:a16="http://schemas.microsoft.com/office/drawing/2014/main" id="{00000000-0008-0000-0700-000004000000}"/>
            </a:ext>
          </a:extLst>
        </xdr:cNvPr>
        <xdr:cNvSpPr txBox="1">
          <a:spLocks noChangeArrowheads="1"/>
        </xdr:cNvSpPr>
      </xdr:nvSpPr>
      <xdr:spPr bwMode="auto">
        <a:xfrm>
          <a:off x="73477" y="19102978"/>
          <a:ext cx="3198706" cy="1989477"/>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D</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Choisir et mettre en œuvre des interventions permettant aux élèves de développer leurs habiletés sociales et relationnelles.</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73477</xdr:colOff>
      <xdr:row>60</xdr:row>
      <xdr:rowOff>171753</xdr:rowOff>
    </xdr:from>
    <xdr:to>
      <xdr:col>1</xdr:col>
      <xdr:colOff>1504343</xdr:colOff>
      <xdr:row>60</xdr:row>
      <xdr:rowOff>2117688</xdr:rowOff>
    </xdr:to>
    <xdr:sp macro="" textlink="">
      <xdr:nvSpPr>
        <xdr:cNvPr id="5" name="Text Box 12">
          <a:extLst>
            <a:ext uri="{FF2B5EF4-FFF2-40B4-BE49-F238E27FC236}">
              <a16:creationId xmlns:a16="http://schemas.microsoft.com/office/drawing/2014/main" id="{00000000-0008-0000-0700-000005000000}"/>
            </a:ext>
          </a:extLst>
        </xdr:cNvPr>
        <xdr:cNvSpPr txBox="1">
          <a:spLocks noChangeArrowheads="1"/>
        </xdr:cNvSpPr>
      </xdr:nvSpPr>
      <xdr:spPr bwMode="auto">
        <a:xfrm>
          <a:off x="73477" y="22086873"/>
          <a:ext cx="3198706" cy="1945935"/>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E</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Repérer chez les élèves les manifestations de démotivation ou d’incompréhension et mettre en œuvre les moyens nécessaires pour y remédier.</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73477</xdr:colOff>
      <xdr:row>64</xdr:row>
      <xdr:rowOff>107647</xdr:rowOff>
    </xdr:from>
    <xdr:to>
      <xdr:col>1</xdr:col>
      <xdr:colOff>1504343</xdr:colOff>
      <xdr:row>64</xdr:row>
      <xdr:rowOff>2053582</xdr:rowOff>
    </xdr:to>
    <xdr:sp macro="" textlink="">
      <xdr:nvSpPr>
        <xdr:cNvPr id="6" name="Text Box 12">
          <a:extLst>
            <a:ext uri="{FF2B5EF4-FFF2-40B4-BE49-F238E27FC236}">
              <a16:creationId xmlns:a16="http://schemas.microsoft.com/office/drawing/2014/main" id="{00000000-0008-0000-0700-000006000000}"/>
            </a:ext>
          </a:extLst>
        </xdr:cNvPr>
        <xdr:cNvSpPr txBox="1">
          <a:spLocks noChangeArrowheads="1"/>
        </xdr:cNvSpPr>
      </xdr:nvSpPr>
      <xdr:spPr bwMode="auto">
        <a:xfrm>
          <a:off x="73477" y="24979327"/>
          <a:ext cx="3198706" cy="1945935"/>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F</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Veiller à une gestion efficace du temps imparti à l’enseignement et à l’apprentissage.</a:t>
          </a:r>
        </a:p>
        <a:p>
          <a:endParaRPr lang="fr-CA" sz="1100">
            <a:solidFill>
              <a:srgbClr val="000000"/>
            </a:solidFill>
            <a:effectLst/>
            <a:latin typeface="+mn-lt"/>
            <a:ea typeface="+mn-ea"/>
            <a:cs typeface="+mn-cs"/>
          </a:endParaRPr>
        </a:p>
      </xdr:txBody>
    </xdr:sp>
    <xdr:clientData fPrintsWithSheet="0"/>
  </xdr:twoCellAnchor>
  <xdr:twoCellAnchor>
    <xdr:from>
      <xdr:col>0</xdr:col>
      <xdr:colOff>73477</xdr:colOff>
      <xdr:row>68</xdr:row>
      <xdr:rowOff>238277</xdr:rowOff>
    </xdr:from>
    <xdr:to>
      <xdr:col>1</xdr:col>
      <xdr:colOff>1504343</xdr:colOff>
      <xdr:row>68</xdr:row>
      <xdr:rowOff>2184211</xdr:rowOff>
    </xdr:to>
    <xdr:sp macro="" textlink="">
      <xdr:nvSpPr>
        <xdr:cNvPr id="7" name="Text Box 12">
          <a:extLst>
            <a:ext uri="{FF2B5EF4-FFF2-40B4-BE49-F238E27FC236}">
              <a16:creationId xmlns:a16="http://schemas.microsoft.com/office/drawing/2014/main" id="{00000000-0008-0000-0700-000007000000}"/>
            </a:ext>
          </a:extLst>
        </xdr:cNvPr>
        <xdr:cNvSpPr txBox="1">
          <a:spLocks noChangeArrowheads="1"/>
        </xdr:cNvSpPr>
      </xdr:nvSpPr>
      <xdr:spPr bwMode="auto">
        <a:xfrm>
          <a:off x="73477" y="28036037"/>
          <a:ext cx="3198706" cy="1945934"/>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G</a:t>
          </a:r>
          <a:endParaRPr lang="fr-CA" sz="1200">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Gérer l’organisation spatiale et physique de la classe afin d’offrir des conditions d’apprentissage optimales et sécuritaires pour toutes et tous.</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73477</xdr:colOff>
      <xdr:row>72</xdr:row>
      <xdr:rowOff>353180</xdr:rowOff>
    </xdr:from>
    <xdr:to>
      <xdr:col>1</xdr:col>
      <xdr:colOff>1504343</xdr:colOff>
      <xdr:row>72</xdr:row>
      <xdr:rowOff>2299116</xdr:rowOff>
    </xdr:to>
    <xdr:sp macro="" textlink="">
      <xdr:nvSpPr>
        <xdr:cNvPr id="11" name="Text Box 12">
          <a:extLst>
            <a:ext uri="{FF2B5EF4-FFF2-40B4-BE49-F238E27FC236}">
              <a16:creationId xmlns:a16="http://schemas.microsoft.com/office/drawing/2014/main" id="{00000000-0008-0000-0700-00000B000000}"/>
            </a:ext>
          </a:extLst>
        </xdr:cNvPr>
        <xdr:cNvSpPr txBox="1">
          <a:spLocks noChangeArrowheads="1"/>
        </xdr:cNvSpPr>
      </xdr:nvSpPr>
      <xdr:spPr bwMode="auto">
        <a:xfrm>
          <a:off x="73477" y="31107500"/>
          <a:ext cx="3198706" cy="1945936"/>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H</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Rappeler les mesures de sécurité en place et s’assurer de leur respect, notamment lors d’activités se déroulant au gymnase, en laboratoire ou en atelier ou encore au cours des sorties scolaires.</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73477</xdr:colOff>
      <xdr:row>76</xdr:row>
      <xdr:rowOff>366486</xdr:rowOff>
    </xdr:from>
    <xdr:to>
      <xdr:col>1</xdr:col>
      <xdr:colOff>1504343</xdr:colOff>
      <xdr:row>76</xdr:row>
      <xdr:rowOff>2312420</xdr:rowOff>
    </xdr:to>
    <xdr:sp macro="" textlink="">
      <xdr:nvSpPr>
        <xdr:cNvPr id="14" name="Text Box 12">
          <a:extLst>
            <a:ext uri="{FF2B5EF4-FFF2-40B4-BE49-F238E27FC236}">
              <a16:creationId xmlns:a16="http://schemas.microsoft.com/office/drawing/2014/main" id="{00000000-0008-0000-0700-00000E000000}"/>
            </a:ext>
          </a:extLst>
        </xdr:cNvPr>
        <xdr:cNvSpPr txBox="1">
          <a:spLocks noChangeArrowheads="1"/>
        </xdr:cNvSpPr>
      </xdr:nvSpPr>
      <xdr:spPr bwMode="auto">
        <a:xfrm>
          <a:off x="73477" y="34229766"/>
          <a:ext cx="3198706" cy="1945934"/>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I</a:t>
          </a:r>
          <a:endParaRPr lang="fr-CA" sz="1200">
            <a:solidFill>
              <a:srgbClr val="000000"/>
            </a:solidFill>
            <a:effectLst/>
          </a:endParaRPr>
        </a:p>
        <a:p>
          <a:endParaRPr lang="fr-CA" sz="1100">
            <a:solidFill>
              <a:srgbClr val="000000"/>
            </a:solidFill>
            <a:effectLst/>
            <a:latin typeface="+mn-lt"/>
            <a:ea typeface="+mn-ea"/>
            <a:cs typeface="+mn-cs"/>
          </a:endParaRPr>
        </a:p>
        <a:p>
          <a:r>
            <a:rPr lang="fr-CA" sz="1100">
              <a:solidFill>
                <a:srgbClr val="000000"/>
              </a:solidFill>
              <a:effectLst/>
              <a:latin typeface="+mn-lt"/>
              <a:ea typeface="+mn-ea"/>
              <a:cs typeface="+mn-cs"/>
            </a:rPr>
            <a:t>Consigner les faits relatifs aux comportements inappropriés et en assurer le suivi.</a:t>
          </a:r>
          <a:r>
            <a:rPr lang="fr-CA">
              <a:solidFill>
                <a:srgbClr val="000000"/>
              </a:solidFill>
              <a:effectLst/>
            </a:rPr>
            <a:t> </a:t>
          </a:r>
          <a:endParaRPr lang="fr-CA" sz="1100">
            <a:solidFill>
              <a:srgbClr val="000000"/>
            </a:solidFill>
            <a:effectLst/>
            <a:latin typeface="+mn-lt"/>
            <a:ea typeface="+mn-ea"/>
            <a:cs typeface="+mn-cs"/>
          </a:endParaRPr>
        </a:p>
      </xdr:txBody>
    </xdr:sp>
    <xdr:clientData fPrintsWithSheet="0"/>
  </xdr:twoCellAnchor>
  <xdr:twoCellAnchor editAs="oneCell">
    <xdr:from>
      <xdr:col>5</xdr:col>
      <xdr:colOff>2004060</xdr:colOff>
      <xdr:row>23</xdr:row>
      <xdr:rowOff>22860</xdr:rowOff>
    </xdr:from>
    <xdr:to>
      <xdr:col>6</xdr:col>
      <xdr:colOff>154123</xdr:colOff>
      <xdr:row>23</xdr:row>
      <xdr:rowOff>264755</xdr:rowOff>
    </xdr:to>
    <xdr:pic>
      <xdr:nvPicPr>
        <xdr:cNvPr id="33" name="Image 32">
          <a:extLst>
            <a:ext uri="{FF2B5EF4-FFF2-40B4-BE49-F238E27FC236}">
              <a16:creationId xmlns:a16="http://schemas.microsoft.com/office/drawing/2014/main" id="{00000000-0008-0000-0700-000021000000}"/>
            </a:ext>
          </a:extLst>
        </xdr:cNvPr>
        <xdr:cNvPicPr>
          <a:picLocks noChangeAspect="1"/>
        </xdr:cNvPicPr>
      </xdr:nvPicPr>
      <xdr:blipFill>
        <a:blip xmlns:r="http://schemas.openxmlformats.org/officeDocument/2006/relationships" r:embed="rId3"/>
        <a:stretch>
          <a:fillRect/>
        </a:stretch>
      </xdr:blipFill>
      <xdr:spPr>
        <a:xfrm>
          <a:off x="7978140" y="5524500"/>
          <a:ext cx="260803" cy="241895"/>
        </a:xfrm>
        <a:prstGeom prst="rect">
          <a:avLst/>
        </a:prstGeom>
      </xdr:spPr>
    </xdr:pic>
    <xdr:clientData/>
  </xdr:twoCellAnchor>
  <xdr:twoCellAnchor>
    <xdr:from>
      <xdr:col>7</xdr:col>
      <xdr:colOff>792480</xdr:colOff>
      <xdr:row>44</xdr:row>
      <xdr:rowOff>1028510</xdr:rowOff>
    </xdr:from>
    <xdr:to>
      <xdr:col>7</xdr:col>
      <xdr:colOff>1154544</xdr:colOff>
      <xdr:row>44</xdr:row>
      <xdr:rowOff>1280510</xdr:rowOff>
    </xdr:to>
    <xdr:sp macro="" textlink="">
      <xdr:nvSpPr>
        <xdr:cNvPr id="34" name="Flèche droite 7">
          <a:extLst>
            <a:ext uri="{FF2B5EF4-FFF2-40B4-BE49-F238E27FC236}">
              <a16:creationId xmlns:a16="http://schemas.microsoft.com/office/drawing/2014/main" id="{00000000-0008-0000-0700-000022000000}"/>
            </a:ext>
          </a:extLst>
        </xdr:cNvPr>
        <xdr:cNvSpPr/>
      </xdr:nvSpPr>
      <xdr:spPr>
        <a:xfrm>
          <a:off x="10972800" y="12031790"/>
          <a:ext cx="362064" cy="252000"/>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792480</xdr:colOff>
      <xdr:row>48</xdr:row>
      <xdr:rowOff>955938</xdr:rowOff>
    </xdr:from>
    <xdr:to>
      <xdr:col>7</xdr:col>
      <xdr:colOff>1154544</xdr:colOff>
      <xdr:row>48</xdr:row>
      <xdr:rowOff>1207938</xdr:rowOff>
    </xdr:to>
    <xdr:sp macro="" textlink="">
      <xdr:nvSpPr>
        <xdr:cNvPr id="35" name="Flèche droite 7">
          <a:extLst>
            <a:ext uri="{FF2B5EF4-FFF2-40B4-BE49-F238E27FC236}">
              <a16:creationId xmlns:a16="http://schemas.microsoft.com/office/drawing/2014/main" id="{00000000-0008-0000-0700-000023000000}"/>
            </a:ext>
          </a:extLst>
        </xdr:cNvPr>
        <xdr:cNvSpPr/>
      </xdr:nvSpPr>
      <xdr:spPr>
        <a:xfrm>
          <a:off x="10972800" y="14641458"/>
          <a:ext cx="362064" cy="252000"/>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792480</xdr:colOff>
      <xdr:row>52</xdr:row>
      <xdr:rowOff>961381</xdr:rowOff>
    </xdr:from>
    <xdr:to>
      <xdr:col>7</xdr:col>
      <xdr:colOff>1154544</xdr:colOff>
      <xdr:row>52</xdr:row>
      <xdr:rowOff>1213381</xdr:rowOff>
    </xdr:to>
    <xdr:sp macro="" textlink="">
      <xdr:nvSpPr>
        <xdr:cNvPr id="36" name="Flèche droite 7">
          <a:extLst>
            <a:ext uri="{FF2B5EF4-FFF2-40B4-BE49-F238E27FC236}">
              <a16:creationId xmlns:a16="http://schemas.microsoft.com/office/drawing/2014/main" id="{00000000-0008-0000-0700-000024000000}"/>
            </a:ext>
          </a:extLst>
        </xdr:cNvPr>
        <xdr:cNvSpPr/>
      </xdr:nvSpPr>
      <xdr:spPr>
        <a:xfrm>
          <a:off x="10972800" y="17237701"/>
          <a:ext cx="362064" cy="252000"/>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792480</xdr:colOff>
      <xdr:row>56</xdr:row>
      <xdr:rowOff>955938</xdr:rowOff>
    </xdr:from>
    <xdr:to>
      <xdr:col>7</xdr:col>
      <xdr:colOff>1154544</xdr:colOff>
      <xdr:row>56</xdr:row>
      <xdr:rowOff>1207938</xdr:rowOff>
    </xdr:to>
    <xdr:sp macro="" textlink="">
      <xdr:nvSpPr>
        <xdr:cNvPr id="37" name="Flèche droite 7">
          <a:extLst>
            <a:ext uri="{FF2B5EF4-FFF2-40B4-BE49-F238E27FC236}">
              <a16:creationId xmlns:a16="http://schemas.microsoft.com/office/drawing/2014/main" id="{00000000-0008-0000-0700-000025000000}"/>
            </a:ext>
          </a:extLst>
        </xdr:cNvPr>
        <xdr:cNvSpPr/>
      </xdr:nvSpPr>
      <xdr:spPr>
        <a:xfrm>
          <a:off x="10972800" y="19975458"/>
          <a:ext cx="362064" cy="252000"/>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792480</xdr:colOff>
      <xdr:row>60</xdr:row>
      <xdr:rowOff>1097453</xdr:rowOff>
    </xdr:from>
    <xdr:to>
      <xdr:col>7</xdr:col>
      <xdr:colOff>1154544</xdr:colOff>
      <xdr:row>60</xdr:row>
      <xdr:rowOff>1349453</xdr:rowOff>
    </xdr:to>
    <xdr:sp macro="" textlink="">
      <xdr:nvSpPr>
        <xdr:cNvPr id="38" name="Flèche droite 7">
          <a:extLst>
            <a:ext uri="{FF2B5EF4-FFF2-40B4-BE49-F238E27FC236}">
              <a16:creationId xmlns:a16="http://schemas.microsoft.com/office/drawing/2014/main" id="{00000000-0008-0000-0700-000026000000}"/>
            </a:ext>
          </a:extLst>
        </xdr:cNvPr>
        <xdr:cNvSpPr/>
      </xdr:nvSpPr>
      <xdr:spPr>
        <a:xfrm>
          <a:off x="10972800" y="23012573"/>
          <a:ext cx="362064" cy="252000"/>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792480</xdr:colOff>
      <xdr:row>64</xdr:row>
      <xdr:rowOff>1005839</xdr:rowOff>
    </xdr:from>
    <xdr:to>
      <xdr:col>7</xdr:col>
      <xdr:colOff>1154544</xdr:colOff>
      <xdr:row>64</xdr:row>
      <xdr:rowOff>1257839</xdr:rowOff>
    </xdr:to>
    <xdr:sp macro="" textlink="">
      <xdr:nvSpPr>
        <xdr:cNvPr id="43" name="Flèche droite 7">
          <a:extLst>
            <a:ext uri="{FF2B5EF4-FFF2-40B4-BE49-F238E27FC236}">
              <a16:creationId xmlns:a16="http://schemas.microsoft.com/office/drawing/2014/main" id="{00000000-0008-0000-0700-00002B000000}"/>
            </a:ext>
          </a:extLst>
        </xdr:cNvPr>
        <xdr:cNvSpPr/>
      </xdr:nvSpPr>
      <xdr:spPr>
        <a:xfrm>
          <a:off x="10972800" y="25877519"/>
          <a:ext cx="362064" cy="252000"/>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792480</xdr:colOff>
      <xdr:row>68</xdr:row>
      <xdr:rowOff>1005839</xdr:rowOff>
    </xdr:from>
    <xdr:to>
      <xdr:col>7</xdr:col>
      <xdr:colOff>1154544</xdr:colOff>
      <xdr:row>68</xdr:row>
      <xdr:rowOff>1257839</xdr:rowOff>
    </xdr:to>
    <xdr:sp macro="" textlink="">
      <xdr:nvSpPr>
        <xdr:cNvPr id="44" name="Flèche droite 7">
          <a:extLst>
            <a:ext uri="{FF2B5EF4-FFF2-40B4-BE49-F238E27FC236}">
              <a16:creationId xmlns:a16="http://schemas.microsoft.com/office/drawing/2014/main" id="{00000000-0008-0000-0700-00002C000000}"/>
            </a:ext>
          </a:extLst>
        </xdr:cNvPr>
        <xdr:cNvSpPr/>
      </xdr:nvSpPr>
      <xdr:spPr>
        <a:xfrm>
          <a:off x="10972800" y="28803599"/>
          <a:ext cx="362064" cy="252000"/>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792480</xdr:colOff>
      <xdr:row>72</xdr:row>
      <xdr:rowOff>1082039</xdr:rowOff>
    </xdr:from>
    <xdr:to>
      <xdr:col>7</xdr:col>
      <xdr:colOff>1154544</xdr:colOff>
      <xdr:row>72</xdr:row>
      <xdr:rowOff>1334039</xdr:rowOff>
    </xdr:to>
    <xdr:sp macro="" textlink="">
      <xdr:nvSpPr>
        <xdr:cNvPr id="45" name="Flèche droite 7">
          <a:extLst>
            <a:ext uri="{FF2B5EF4-FFF2-40B4-BE49-F238E27FC236}">
              <a16:creationId xmlns:a16="http://schemas.microsoft.com/office/drawing/2014/main" id="{00000000-0008-0000-0700-00002D000000}"/>
            </a:ext>
          </a:extLst>
        </xdr:cNvPr>
        <xdr:cNvSpPr/>
      </xdr:nvSpPr>
      <xdr:spPr>
        <a:xfrm>
          <a:off x="10972800" y="31836359"/>
          <a:ext cx="362064" cy="252000"/>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792480</xdr:colOff>
      <xdr:row>76</xdr:row>
      <xdr:rowOff>1127759</xdr:rowOff>
    </xdr:from>
    <xdr:to>
      <xdr:col>7</xdr:col>
      <xdr:colOff>1154544</xdr:colOff>
      <xdr:row>76</xdr:row>
      <xdr:rowOff>1379759</xdr:rowOff>
    </xdr:to>
    <xdr:sp macro="" textlink="">
      <xdr:nvSpPr>
        <xdr:cNvPr id="46" name="Flèche droite 7">
          <a:extLst>
            <a:ext uri="{FF2B5EF4-FFF2-40B4-BE49-F238E27FC236}">
              <a16:creationId xmlns:a16="http://schemas.microsoft.com/office/drawing/2014/main" id="{00000000-0008-0000-0700-00002E000000}"/>
            </a:ext>
          </a:extLst>
        </xdr:cNvPr>
        <xdr:cNvSpPr/>
      </xdr:nvSpPr>
      <xdr:spPr>
        <a:xfrm>
          <a:off x="10972800" y="34991039"/>
          <a:ext cx="362064" cy="252000"/>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1615440</xdr:colOff>
      <xdr:row>44</xdr:row>
      <xdr:rowOff>822960</xdr:rowOff>
    </xdr:from>
    <xdr:to>
      <xdr:col>1</xdr:col>
      <xdr:colOff>1977504</xdr:colOff>
      <xdr:row>44</xdr:row>
      <xdr:rowOff>1074960</xdr:rowOff>
    </xdr:to>
    <xdr:sp macro="" textlink="">
      <xdr:nvSpPr>
        <xdr:cNvPr id="15" name="Flèche droite 7">
          <a:extLst>
            <a:ext uri="{FF2B5EF4-FFF2-40B4-BE49-F238E27FC236}">
              <a16:creationId xmlns:a16="http://schemas.microsoft.com/office/drawing/2014/main" id="{00000000-0008-0000-0700-00000F000000}"/>
            </a:ext>
          </a:extLst>
        </xdr:cNvPr>
        <xdr:cNvSpPr/>
      </xdr:nvSpPr>
      <xdr:spPr>
        <a:xfrm>
          <a:off x="3383280" y="11826240"/>
          <a:ext cx="362064" cy="252000"/>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1615440</xdr:colOff>
      <xdr:row>48</xdr:row>
      <xdr:rowOff>750388</xdr:rowOff>
    </xdr:from>
    <xdr:to>
      <xdr:col>1</xdr:col>
      <xdr:colOff>1977504</xdr:colOff>
      <xdr:row>48</xdr:row>
      <xdr:rowOff>1002388</xdr:rowOff>
    </xdr:to>
    <xdr:sp macro="" textlink="">
      <xdr:nvSpPr>
        <xdr:cNvPr id="17" name="Flèche droite 7">
          <a:extLst>
            <a:ext uri="{FF2B5EF4-FFF2-40B4-BE49-F238E27FC236}">
              <a16:creationId xmlns:a16="http://schemas.microsoft.com/office/drawing/2014/main" id="{00000000-0008-0000-0700-000011000000}"/>
            </a:ext>
          </a:extLst>
        </xdr:cNvPr>
        <xdr:cNvSpPr/>
      </xdr:nvSpPr>
      <xdr:spPr>
        <a:xfrm>
          <a:off x="3383280" y="14435908"/>
          <a:ext cx="362064" cy="252000"/>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1615440</xdr:colOff>
      <xdr:row>52</xdr:row>
      <xdr:rowOff>755831</xdr:rowOff>
    </xdr:from>
    <xdr:to>
      <xdr:col>1</xdr:col>
      <xdr:colOff>1977504</xdr:colOff>
      <xdr:row>52</xdr:row>
      <xdr:rowOff>1007831</xdr:rowOff>
    </xdr:to>
    <xdr:sp macro="" textlink="">
      <xdr:nvSpPr>
        <xdr:cNvPr id="18" name="Flèche droite 7">
          <a:extLst>
            <a:ext uri="{FF2B5EF4-FFF2-40B4-BE49-F238E27FC236}">
              <a16:creationId xmlns:a16="http://schemas.microsoft.com/office/drawing/2014/main" id="{00000000-0008-0000-0700-000012000000}"/>
            </a:ext>
          </a:extLst>
        </xdr:cNvPr>
        <xdr:cNvSpPr/>
      </xdr:nvSpPr>
      <xdr:spPr>
        <a:xfrm>
          <a:off x="3383280" y="17032151"/>
          <a:ext cx="362064" cy="252000"/>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1615440</xdr:colOff>
      <xdr:row>56</xdr:row>
      <xdr:rowOff>750388</xdr:rowOff>
    </xdr:from>
    <xdr:to>
      <xdr:col>1</xdr:col>
      <xdr:colOff>1977504</xdr:colOff>
      <xdr:row>56</xdr:row>
      <xdr:rowOff>1002388</xdr:rowOff>
    </xdr:to>
    <xdr:sp macro="" textlink="">
      <xdr:nvSpPr>
        <xdr:cNvPr id="19" name="Flèche droite 7">
          <a:extLst>
            <a:ext uri="{FF2B5EF4-FFF2-40B4-BE49-F238E27FC236}">
              <a16:creationId xmlns:a16="http://schemas.microsoft.com/office/drawing/2014/main" id="{00000000-0008-0000-0700-000013000000}"/>
            </a:ext>
          </a:extLst>
        </xdr:cNvPr>
        <xdr:cNvSpPr/>
      </xdr:nvSpPr>
      <xdr:spPr>
        <a:xfrm>
          <a:off x="3383280" y="19769908"/>
          <a:ext cx="362064" cy="252000"/>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1615440</xdr:colOff>
      <xdr:row>60</xdr:row>
      <xdr:rowOff>891903</xdr:rowOff>
    </xdr:from>
    <xdr:to>
      <xdr:col>1</xdr:col>
      <xdr:colOff>1977504</xdr:colOff>
      <xdr:row>60</xdr:row>
      <xdr:rowOff>1143903</xdr:rowOff>
    </xdr:to>
    <xdr:sp macro="" textlink="">
      <xdr:nvSpPr>
        <xdr:cNvPr id="20" name="Flèche droite 7">
          <a:extLst>
            <a:ext uri="{FF2B5EF4-FFF2-40B4-BE49-F238E27FC236}">
              <a16:creationId xmlns:a16="http://schemas.microsoft.com/office/drawing/2014/main" id="{00000000-0008-0000-0700-000014000000}"/>
            </a:ext>
          </a:extLst>
        </xdr:cNvPr>
        <xdr:cNvSpPr/>
      </xdr:nvSpPr>
      <xdr:spPr>
        <a:xfrm>
          <a:off x="3383280" y="22807023"/>
          <a:ext cx="362064" cy="252000"/>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1615440</xdr:colOff>
      <xdr:row>64</xdr:row>
      <xdr:rowOff>800289</xdr:rowOff>
    </xdr:from>
    <xdr:to>
      <xdr:col>1</xdr:col>
      <xdr:colOff>1977504</xdr:colOff>
      <xdr:row>64</xdr:row>
      <xdr:rowOff>1052289</xdr:rowOff>
    </xdr:to>
    <xdr:sp macro="" textlink="">
      <xdr:nvSpPr>
        <xdr:cNvPr id="21" name="Flèche droite 7">
          <a:extLst>
            <a:ext uri="{FF2B5EF4-FFF2-40B4-BE49-F238E27FC236}">
              <a16:creationId xmlns:a16="http://schemas.microsoft.com/office/drawing/2014/main" id="{00000000-0008-0000-0700-000015000000}"/>
            </a:ext>
          </a:extLst>
        </xdr:cNvPr>
        <xdr:cNvSpPr/>
      </xdr:nvSpPr>
      <xdr:spPr>
        <a:xfrm>
          <a:off x="3383280" y="25671969"/>
          <a:ext cx="362064" cy="252000"/>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1615440</xdr:colOff>
      <xdr:row>68</xdr:row>
      <xdr:rowOff>800289</xdr:rowOff>
    </xdr:from>
    <xdr:to>
      <xdr:col>1</xdr:col>
      <xdr:colOff>1977504</xdr:colOff>
      <xdr:row>68</xdr:row>
      <xdr:rowOff>1052289</xdr:rowOff>
    </xdr:to>
    <xdr:sp macro="" textlink="">
      <xdr:nvSpPr>
        <xdr:cNvPr id="23" name="Flèche droite 7">
          <a:extLst>
            <a:ext uri="{FF2B5EF4-FFF2-40B4-BE49-F238E27FC236}">
              <a16:creationId xmlns:a16="http://schemas.microsoft.com/office/drawing/2014/main" id="{00000000-0008-0000-0700-000017000000}"/>
            </a:ext>
          </a:extLst>
        </xdr:cNvPr>
        <xdr:cNvSpPr/>
      </xdr:nvSpPr>
      <xdr:spPr>
        <a:xfrm>
          <a:off x="3383280" y="28598049"/>
          <a:ext cx="362064" cy="252000"/>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1615440</xdr:colOff>
      <xdr:row>72</xdr:row>
      <xdr:rowOff>876489</xdr:rowOff>
    </xdr:from>
    <xdr:to>
      <xdr:col>1</xdr:col>
      <xdr:colOff>1977504</xdr:colOff>
      <xdr:row>72</xdr:row>
      <xdr:rowOff>1128489</xdr:rowOff>
    </xdr:to>
    <xdr:sp macro="" textlink="">
      <xdr:nvSpPr>
        <xdr:cNvPr id="24" name="Flèche droite 7">
          <a:extLst>
            <a:ext uri="{FF2B5EF4-FFF2-40B4-BE49-F238E27FC236}">
              <a16:creationId xmlns:a16="http://schemas.microsoft.com/office/drawing/2014/main" id="{00000000-0008-0000-0700-000018000000}"/>
            </a:ext>
          </a:extLst>
        </xdr:cNvPr>
        <xdr:cNvSpPr/>
      </xdr:nvSpPr>
      <xdr:spPr>
        <a:xfrm>
          <a:off x="3383280" y="31630809"/>
          <a:ext cx="362064" cy="252000"/>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1615440</xdr:colOff>
      <xdr:row>76</xdr:row>
      <xdr:rowOff>922209</xdr:rowOff>
    </xdr:from>
    <xdr:to>
      <xdr:col>1</xdr:col>
      <xdr:colOff>1977504</xdr:colOff>
      <xdr:row>76</xdr:row>
      <xdr:rowOff>1174209</xdr:rowOff>
    </xdr:to>
    <xdr:sp macro="" textlink="">
      <xdr:nvSpPr>
        <xdr:cNvPr id="25" name="Flèche droite 7">
          <a:extLst>
            <a:ext uri="{FF2B5EF4-FFF2-40B4-BE49-F238E27FC236}">
              <a16:creationId xmlns:a16="http://schemas.microsoft.com/office/drawing/2014/main" id="{00000000-0008-0000-0700-000019000000}"/>
            </a:ext>
          </a:extLst>
        </xdr:cNvPr>
        <xdr:cNvSpPr/>
      </xdr:nvSpPr>
      <xdr:spPr>
        <a:xfrm>
          <a:off x="3383280" y="34785489"/>
          <a:ext cx="362064" cy="252000"/>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editAs="oneCell">
    <xdr:from>
      <xdr:col>4</xdr:col>
      <xdr:colOff>0</xdr:colOff>
      <xdr:row>41</xdr:row>
      <xdr:rowOff>0</xdr:rowOff>
    </xdr:from>
    <xdr:to>
      <xdr:col>5</xdr:col>
      <xdr:colOff>254372</xdr:colOff>
      <xdr:row>41</xdr:row>
      <xdr:rowOff>231774</xdr:rowOff>
    </xdr:to>
    <xdr:pic>
      <xdr:nvPicPr>
        <xdr:cNvPr id="26" name="Image 25">
          <a:extLst>
            <a:ext uri="{FF2B5EF4-FFF2-40B4-BE49-F238E27FC236}">
              <a16:creationId xmlns:a16="http://schemas.microsoft.com/office/drawing/2014/main" id="{00000000-0008-0000-0700-00001A000000}"/>
            </a:ext>
          </a:extLst>
        </xdr:cNvPr>
        <xdr:cNvPicPr>
          <a:picLocks noChangeAspect="1"/>
        </xdr:cNvPicPr>
      </xdr:nvPicPr>
      <xdr:blipFill>
        <a:blip xmlns:r="http://schemas.openxmlformats.org/officeDocument/2006/relationships" r:embed="rId3"/>
        <a:stretch>
          <a:fillRect/>
        </a:stretch>
      </xdr:blipFill>
      <xdr:spPr>
        <a:xfrm>
          <a:off x="5974080" y="9768840"/>
          <a:ext cx="254372" cy="231774"/>
        </a:xfrm>
        <a:prstGeom prst="rect">
          <a:avLst/>
        </a:prstGeom>
      </xdr:spPr>
    </xdr:pic>
    <xdr:clientData/>
  </xdr:twoCellAnchor>
  <xdr:twoCellAnchor>
    <xdr:from>
      <xdr:col>1</xdr:col>
      <xdr:colOff>0</xdr:colOff>
      <xdr:row>84</xdr:row>
      <xdr:rowOff>175259</xdr:rowOff>
    </xdr:from>
    <xdr:to>
      <xdr:col>2</xdr:col>
      <xdr:colOff>0</xdr:colOff>
      <xdr:row>87</xdr:row>
      <xdr:rowOff>175258</xdr:rowOff>
    </xdr:to>
    <xdr:sp macro="" textlink="">
      <xdr:nvSpPr>
        <xdr:cNvPr id="27" name="Rectangle : coins arrondis 26" descr="Retour à la Présentation">
          <a:hlinkClick xmlns:r="http://schemas.openxmlformats.org/officeDocument/2006/relationships" r:id="rId4"/>
          <a:extLst>
            <a:ext uri="{FF2B5EF4-FFF2-40B4-BE49-F238E27FC236}">
              <a16:creationId xmlns:a16="http://schemas.microsoft.com/office/drawing/2014/main" id="{00000000-0008-0000-0700-00001B000000}"/>
            </a:ext>
          </a:extLst>
        </xdr:cNvPr>
        <xdr:cNvSpPr/>
      </xdr:nvSpPr>
      <xdr:spPr>
        <a:xfrm>
          <a:off x="2034540" y="37124639"/>
          <a:ext cx="2110740" cy="525779"/>
        </a:xfrm>
        <a:prstGeom prst="roundRect">
          <a:avLst/>
        </a:prstGeom>
        <a:solidFill>
          <a:srgbClr val="74B4B9"/>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Retour à la Présentation</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76200</xdr:colOff>
      <xdr:row>0</xdr:row>
      <xdr:rowOff>38100</xdr:rowOff>
    </xdr:from>
    <xdr:ext cx="1358900" cy="736600"/>
    <xdr:pic>
      <xdr:nvPicPr>
        <xdr:cNvPr id="2" name="logo_teluq_nb.eps" descr="Logo de l'Université TÉLUQ.">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38100"/>
          <a:ext cx="1358900" cy="736600"/>
        </a:xfrm>
        <a:prstGeom prst="rect">
          <a:avLst/>
        </a:prstGeom>
      </xdr:spPr>
    </xdr:pic>
    <xdr:clientData/>
  </xdr:oneCellAnchor>
  <xdr:twoCellAnchor>
    <xdr:from>
      <xdr:col>0</xdr:col>
      <xdr:colOff>0</xdr:colOff>
      <xdr:row>4</xdr:row>
      <xdr:rowOff>0</xdr:rowOff>
    </xdr:from>
    <xdr:to>
      <xdr:col>8</xdr:col>
      <xdr:colOff>1836420</xdr:colOff>
      <xdr:row>11</xdr:row>
      <xdr:rowOff>114300</xdr:rowOff>
    </xdr:to>
    <xdr:sp macro="" textlink="">
      <xdr:nvSpPr>
        <xdr:cNvPr id="3" name="Text Box 12">
          <a:extLst>
            <a:ext uri="{FF2B5EF4-FFF2-40B4-BE49-F238E27FC236}">
              <a16:creationId xmlns:a16="http://schemas.microsoft.com/office/drawing/2014/main" id="{00000000-0008-0000-0800-000003000000}"/>
            </a:ext>
          </a:extLst>
        </xdr:cNvPr>
        <xdr:cNvSpPr txBox="1">
          <a:spLocks noChangeArrowheads="1"/>
        </xdr:cNvSpPr>
      </xdr:nvSpPr>
      <xdr:spPr bwMode="auto">
        <a:xfrm>
          <a:off x="0" y="990600"/>
          <a:ext cx="14394180" cy="1341120"/>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a:r>
            <a:rPr lang="en-US" sz="1800" b="1" i="0" u="none" strike="noStrike" cap="all" baseline="0">
              <a:solidFill>
                <a:srgbClr val="000000"/>
              </a:solidFill>
              <a:effectLst/>
              <a:latin typeface="+mn-lt"/>
              <a:ea typeface="+mn-ea"/>
              <a:cs typeface="Arial"/>
            </a:rPr>
            <a:t>Champ 1 : six compétences spécialisées au cœur du travail fait avec et pour les élèves</a:t>
          </a:r>
          <a:endParaRPr lang="en-US" sz="1200" b="1" i="0" u="none" strike="noStrike" cap="all" baseline="0">
            <a:solidFill>
              <a:srgbClr val="000000"/>
            </a:solidFill>
            <a:effectLst/>
            <a:latin typeface="Arial"/>
            <a:ea typeface="+mn-ea"/>
            <a:cs typeface="Arial"/>
          </a:endParaRPr>
        </a:p>
        <a:p>
          <a:pPr algn="l"/>
          <a:endParaRPr lang="en-US" sz="1400" b="1" i="0" u="none" strike="noStrike" baseline="0">
            <a:solidFill>
              <a:srgbClr val="000000"/>
            </a:solidFill>
            <a:effectLst/>
            <a:latin typeface="Arial"/>
            <a:ea typeface="+mn-ea"/>
            <a:cs typeface="Arial"/>
          </a:endParaRPr>
        </a:p>
        <a:p>
          <a:pPr algn="l"/>
          <a:r>
            <a:rPr lang="en-US" sz="1400" b="1" i="0" u="none" strike="noStrike" baseline="0">
              <a:solidFill>
                <a:srgbClr val="000000"/>
              </a:solidFill>
              <a:effectLst/>
              <a:latin typeface="Arial"/>
              <a:ea typeface="+mn-ea"/>
              <a:cs typeface="Arial"/>
            </a:rPr>
            <a:t>Compétence 7 : </a:t>
          </a:r>
          <a:r>
            <a:rPr lang="fr-CA" sz="1400" b="1">
              <a:solidFill>
                <a:srgbClr val="000000"/>
              </a:solidFill>
              <a:effectLst/>
              <a:latin typeface="+mn-lt"/>
              <a:ea typeface="+mn-ea"/>
              <a:cs typeface="+mn-cs"/>
            </a:rPr>
            <a:t>Tenir compte de l’hétérogénéité des élèves</a:t>
          </a:r>
        </a:p>
        <a:p>
          <a:pPr algn="l"/>
          <a:r>
            <a:rPr lang="fr-CA" sz="1400" i="1">
              <a:solidFill>
                <a:srgbClr val="000000"/>
              </a:solidFill>
              <a:effectLst/>
              <a:latin typeface="+mn-lt"/>
              <a:ea typeface="+mn-ea"/>
              <a:cs typeface="+mn-cs"/>
            </a:rPr>
            <a:t>Mettre en place, dans le cadre d’un enseignement inclusif, des stratégies de différenciation pédagogique en vue de soutenir la pleine participation et la réussite de tous les élèves.</a:t>
          </a:r>
        </a:p>
      </xdr:txBody>
    </xdr:sp>
    <xdr:clientData fPrintsWithSheet="0"/>
  </xdr:twoCellAnchor>
  <xdr:twoCellAnchor editAs="oneCell">
    <xdr:from>
      <xdr:col>5</xdr:col>
      <xdr:colOff>2026920</xdr:colOff>
      <xdr:row>23</xdr:row>
      <xdr:rowOff>0</xdr:rowOff>
    </xdr:from>
    <xdr:to>
      <xdr:col>6</xdr:col>
      <xdr:colOff>176983</xdr:colOff>
      <xdr:row>23</xdr:row>
      <xdr:rowOff>237400</xdr:rowOff>
    </xdr:to>
    <xdr:pic>
      <xdr:nvPicPr>
        <xdr:cNvPr id="4" name="Imag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a:stretch>
          <a:fillRect/>
        </a:stretch>
      </xdr:blipFill>
      <xdr:spPr>
        <a:xfrm>
          <a:off x="8023860" y="5919412"/>
          <a:ext cx="260803" cy="237400"/>
        </a:xfrm>
        <a:prstGeom prst="rect">
          <a:avLst/>
        </a:prstGeom>
      </xdr:spPr>
    </xdr:pic>
    <xdr:clientData/>
  </xdr:twoCellAnchor>
  <xdr:twoCellAnchor editAs="oneCell">
    <xdr:from>
      <xdr:col>8</xdr:col>
      <xdr:colOff>914401</xdr:colOff>
      <xdr:row>4</xdr:row>
      <xdr:rowOff>77834</xdr:rowOff>
    </xdr:from>
    <xdr:to>
      <xdr:col>8</xdr:col>
      <xdr:colOff>1554209</xdr:colOff>
      <xdr:row>7</xdr:row>
      <xdr:rowOff>142517</xdr:rowOff>
    </xdr:to>
    <xdr:pic>
      <xdr:nvPicPr>
        <xdr:cNvPr id="7" name="Imag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3"/>
        <a:stretch>
          <a:fillRect/>
        </a:stretch>
      </xdr:blipFill>
      <xdr:spPr>
        <a:xfrm>
          <a:off x="14826344" y="1090205"/>
          <a:ext cx="639808" cy="587199"/>
        </a:xfrm>
        <a:prstGeom prst="rect">
          <a:avLst/>
        </a:prstGeom>
      </xdr:spPr>
    </xdr:pic>
    <xdr:clientData/>
  </xdr:twoCellAnchor>
  <xdr:twoCellAnchor>
    <xdr:from>
      <xdr:col>0</xdr:col>
      <xdr:colOff>58783</xdr:colOff>
      <xdr:row>42</xdr:row>
      <xdr:rowOff>561408</xdr:rowOff>
    </xdr:from>
    <xdr:to>
      <xdr:col>1</xdr:col>
      <xdr:colOff>1242943</xdr:colOff>
      <xdr:row>44</xdr:row>
      <xdr:rowOff>43542</xdr:rowOff>
    </xdr:to>
    <xdr:sp macro="" textlink="">
      <xdr:nvSpPr>
        <xdr:cNvPr id="5" name="Text Box 12">
          <a:extLst>
            <a:ext uri="{FF2B5EF4-FFF2-40B4-BE49-F238E27FC236}">
              <a16:creationId xmlns:a16="http://schemas.microsoft.com/office/drawing/2014/main" id="{00000000-0008-0000-0800-000005000000}"/>
            </a:ext>
          </a:extLst>
        </xdr:cNvPr>
        <xdr:cNvSpPr txBox="1">
          <a:spLocks noChangeArrowheads="1"/>
        </xdr:cNvSpPr>
      </xdr:nvSpPr>
      <xdr:spPr bwMode="auto">
        <a:xfrm>
          <a:off x="58783" y="11137968"/>
          <a:ext cx="2952000" cy="1981494"/>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pPr marL="0" indent="0"/>
          <a:r>
            <a:rPr lang="fr-CA" sz="1200" b="1" i="0" u="dbl" strike="noStrike" baseline="0">
              <a:solidFill>
                <a:srgbClr val="000000"/>
              </a:solidFill>
              <a:effectLst/>
              <a:latin typeface="Arial"/>
              <a:ea typeface="+mn-ea"/>
              <a:cs typeface="Arial"/>
            </a:rPr>
            <a:t>Dimension A</a:t>
          </a:r>
        </a:p>
        <a:p>
          <a:pPr marL="0" indent="0"/>
          <a:endParaRPr lang="fr-CA" sz="1200" b="1" i="0" u="dbl" strike="noStrike" baseline="0">
            <a:solidFill>
              <a:srgbClr val="000000"/>
            </a:solidFill>
            <a:effectLst/>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Moduler les situations d’enseignement et d’apprentissage et le soutien offert aux élèves en fonction de leurs besoins, de leurs défis et de leurs capacités.</a:t>
          </a:r>
          <a:endParaRPr lang="fr-CA" sz="1200">
            <a:solidFill>
              <a:srgbClr val="000000"/>
            </a:solidFill>
            <a:effectLst/>
          </a:endParaRPr>
        </a:p>
        <a:p>
          <a:pPr marL="0" indent="0"/>
          <a:endParaRPr lang="fr-CA" sz="1200" b="1" i="0" u="dbl" strike="noStrike" baseline="0">
            <a:solidFill>
              <a:srgbClr val="000000"/>
            </a:solidFill>
            <a:effectLst/>
            <a:latin typeface="Arial"/>
            <a:ea typeface="+mn-ea"/>
            <a:cs typeface="Arial"/>
          </a:endParaRPr>
        </a:p>
      </xdr:txBody>
    </xdr:sp>
    <xdr:clientData fPrintsWithSheet="0"/>
  </xdr:twoCellAnchor>
  <xdr:twoCellAnchor>
    <xdr:from>
      <xdr:col>7</xdr:col>
      <xdr:colOff>887978</xdr:colOff>
      <xdr:row>43</xdr:row>
      <xdr:rowOff>743667</xdr:rowOff>
    </xdr:from>
    <xdr:to>
      <xdr:col>7</xdr:col>
      <xdr:colOff>1250042</xdr:colOff>
      <xdr:row>43</xdr:row>
      <xdr:rowOff>957942</xdr:rowOff>
    </xdr:to>
    <xdr:sp macro="" textlink="">
      <xdr:nvSpPr>
        <xdr:cNvPr id="19" name="Flèche droite 7">
          <a:extLst>
            <a:ext uri="{FF2B5EF4-FFF2-40B4-BE49-F238E27FC236}">
              <a16:creationId xmlns:a16="http://schemas.microsoft.com/office/drawing/2014/main" id="{00000000-0008-0000-0800-000013000000}"/>
            </a:ext>
          </a:extLst>
        </xdr:cNvPr>
        <xdr:cNvSpPr/>
      </xdr:nvSpPr>
      <xdr:spPr>
        <a:xfrm>
          <a:off x="9790678" y="12059367"/>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58783</xdr:colOff>
      <xdr:row>47</xdr:row>
      <xdr:rowOff>60666</xdr:rowOff>
    </xdr:from>
    <xdr:to>
      <xdr:col>1</xdr:col>
      <xdr:colOff>1242943</xdr:colOff>
      <xdr:row>47</xdr:row>
      <xdr:rowOff>2057400</xdr:rowOff>
    </xdr:to>
    <xdr:sp macro="" textlink="">
      <xdr:nvSpPr>
        <xdr:cNvPr id="20" name="Text Box 12">
          <a:extLst>
            <a:ext uri="{FF2B5EF4-FFF2-40B4-BE49-F238E27FC236}">
              <a16:creationId xmlns:a16="http://schemas.microsoft.com/office/drawing/2014/main" id="{00000000-0008-0000-0800-000014000000}"/>
            </a:ext>
          </a:extLst>
        </xdr:cNvPr>
        <xdr:cNvSpPr txBox="1">
          <a:spLocks noChangeArrowheads="1"/>
        </xdr:cNvSpPr>
      </xdr:nvSpPr>
      <xdr:spPr bwMode="auto">
        <a:xfrm>
          <a:off x="58783" y="13685226"/>
          <a:ext cx="2952000" cy="1996734"/>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B</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Utiliser les ressources disponibles pour répondre à des besoins ou surmonter des obstacles en matière d’apprentissage.</a:t>
          </a:r>
        </a:p>
        <a:p>
          <a:endParaRPr lang="fr-CA" sz="1100">
            <a:solidFill>
              <a:srgbClr val="000000"/>
            </a:solidFill>
            <a:effectLst/>
            <a:latin typeface="+mn-lt"/>
            <a:ea typeface="+mn-ea"/>
            <a:cs typeface="+mn-cs"/>
          </a:endParaRPr>
        </a:p>
      </xdr:txBody>
    </xdr:sp>
    <xdr:clientData fPrintsWithSheet="0"/>
  </xdr:twoCellAnchor>
  <xdr:twoCellAnchor>
    <xdr:from>
      <xdr:col>7</xdr:col>
      <xdr:colOff>840808</xdr:colOff>
      <xdr:row>47</xdr:row>
      <xdr:rowOff>776325</xdr:rowOff>
    </xdr:from>
    <xdr:to>
      <xdr:col>7</xdr:col>
      <xdr:colOff>1202872</xdr:colOff>
      <xdr:row>47</xdr:row>
      <xdr:rowOff>990600</xdr:rowOff>
    </xdr:to>
    <xdr:sp macro="" textlink="">
      <xdr:nvSpPr>
        <xdr:cNvPr id="22" name="Flèche droite 7">
          <a:extLst>
            <a:ext uri="{FF2B5EF4-FFF2-40B4-BE49-F238E27FC236}">
              <a16:creationId xmlns:a16="http://schemas.microsoft.com/office/drawing/2014/main" id="{00000000-0008-0000-0800-000016000000}"/>
            </a:ext>
          </a:extLst>
        </xdr:cNvPr>
        <xdr:cNvSpPr/>
      </xdr:nvSpPr>
      <xdr:spPr>
        <a:xfrm>
          <a:off x="9743508" y="14543125"/>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58783</xdr:colOff>
      <xdr:row>51</xdr:row>
      <xdr:rowOff>76994</xdr:rowOff>
    </xdr:from>
    <xdr:to>
      <xdr:col>1</xdr:col>
      <xdr:colOff>1242943</xdr:colOff>
      <xdr:row>51</xdr:row>
      <xdr:rowOff>2061028</xdr:rowOff>
    </xdr:to>
    <xdr:sp macro="" textlink="">
      <xdr:nvSpPr>
        <xdr:cNvPr id="6" name="Text Box 12">
          <a:extLst>
            <a:ext uri="{FF2B5EF4-FFF2-40B4-BE49-F238E27FC236}">
              <a16:creationId xmlns:a16="http://schemas.microsoft.com/office/drawing/2014/main" id="{00000000-0008-0000-0800-000006000000}"/>
            </a:ext>
          </a:extLst>
        </xdr:cNvPr>
        <xdr:cNvSpPr txBox="1">
          <a:spLocks noChangeArrowheads="1"/>
        </xdr:cNvSpPr>
      </xdr:nvSpPr>
      <xdr:spPr bwMode="auto">
        <a:xfrm>
          <a:off x="58783" y="16475234"/>
          <a:ext cx="2952000" cy="1984034"/>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C</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Privilégier des modalités de regroupement qui tiennent compte des intentions pédagogiques et des besoins d’apprentissage différencié des élèves.</a:t>
          </a:r>
        </a:p>
        <a:p>
          <a:endParaRPr lang="fr-CA" sz="1100">
            <a:solidFill>
              <a:srgbClr val="000000"/>
            </a:solidFill>
            <a:effectLst/>
            <a:latin typeface="+mn-lt"/>
            <a:ea typeface="+mn-ea"/>
            <a:cs typeface="+mn-cs"/>
          </a:endParaRPr>
        </a:p>
      </xdr:txBody>
    </xdr:sp>
    <xdr:clientData fPrintsWithSheet="0"/>
  </xdr:twoCellAnchor>
  <xdr:twoCellAnchor>
    <xdr:from>
      <xdr:col>7</xdr:col>
      <xdr:colOff>869835</xdr:colOff>
      <xdr:row>51</xdr:row>
      <xdr:rowOff>645697</xdr:rowOff>
    </xdr:from>
    <xdr:to>
      <xdr:col>7</xdr:col>
      <xdr:colOff>1231899</xdr:colOff>
      <xdr:row>51</xdr:row>
      <xdr:rowOff>859972</xdr:rowOff>
    </xdr:to>
    <xdr:sp macro="" textlink="">
      <xdr:nvSpPr>
        <xdr:cNvPr id="10" name="Flèche droite 7">
          <a:extLst>
            <a:ext uri="{FF2B5EF4-FFF2-40B4-BE49-F238E27FC236}">
              <a16:creationId xmlns:a16="http://schemas.microsoft.com/office/drawing/2014/main" id="{00000000-0008-0000-0800-00000A000000}"/>
            </a:ext>
          </a:extLst>
        </xdr:cNvPr>
        <xdr:cNvSpPr/>
      </xdr:nvSpPr>
      <xdr:spPr>
        <a:xfrm>
          <a:off x="9772535" y="17193797"/>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58783</xdr:colOff>
      <xdr:row>55</xdr:row>
      <xdr:rowOff>157842</xdr:rowOff>
    </xdr:from>
    <xdr:to>
      <xdr:col>1</xdr:col>
      <xdr:colOff>1242943</xdr:colOff>
      <xdr:row>55</xdr:row>
      <xdr:rowOff>2187234</xdr:rowOff>
    </xdr:to>
    <xdr:sp macro="" textlink="">
      <xdr:nvSpPr>
        <xdr:cNvPr id="8" name="Text Box 12">
          <a:extLst>
            <a:ext uri="{FF2B5EF4-FFF2-40B4-BE49-F238E27FC236}">
              <a16:creationId xmlns:a16="http://schemas.microsoft.com/office/drawing/2014/main" id="{00000000-0008-0000-0800-000008000000}"/>
            </a:ext>
          </a:extLst>
        </xdr:cNvPr>
        <xdr:cNvSpPr txBox="1">
          <a:spLocks noChangeArrowheads="1"/>
        </xdr:cNvSpPr>
      </xdr:nvSpPr>
      <xdr:spPr bwMode="auto">
        <a:xfrm>
          <a:off x="58783" y="19451682"/>
          <a:ext cx="2952000" cy="2029392"/>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D</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Appliquer des mesures de flexibilité, d’adaptation ou de modification aux besoins particuliers des élèves en fonction d’objectifs préétablis.</a:t>
          </a:r>
        </a:p>
        <a:p>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58783</xdr:colOff>
      <xdr:row>59</xdr:row>
      <xdr:rowOff>226786</xdr:rowOff>
    </xdr:from>
    <xdr:to>
      <xdr:col>1</xdr:col>
      <xdr:colOff>1242943</xdr:colOff>
      <xdr:row>59</xdr:row>
      <xdr:rowOff>2252550</xdr:rowOff>
    </xdr:to>
    <xdr:sp macro="" textlink="">
      <xdr:nvSpPr>
        <xdr:cNvPr id="11" name="Text Box 12">
          <a:extLst>
            <a:ext uri="{FF2B5EF4-FFF2-40B4-BE49-F238E27FC236}">
              <a16:creationId xmlns:a16="http://schemas.microsoft.com/office/drawing/2014/main" id="{00000000-0008-0000-0800-00000B000000}"/>
            </a:ext>
          </a:extLst>
        </xdr:cNvPr>
        <xdr:cNvSpPr txBox="1">
          <a:spLocks noChangeArrowheads="1"/>
        </xdr:cNvSpPr>
      </xdr:nvSpPr>
      <xdr:spPr bwMode="auto">
        <a:xfrm>
          <a:off x="58783" y="22416226"/>
          <a:ext cx="2952000" cy="2025764"/>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E</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Favoriser, au sein du groupe-classe, des stratégies d’entraide mettant à profit l’hétérogénéité des élèves et bénéficiant à toutes et à tous.</a:t>
          </a:r>
        </a:p>
        <a:p>
          <a:endParaRPr lang="fr-CA" sz="1100">
            <a:solidFill>
              <a:srgbClr val="000000"/>
            </a:solidFill>
            <a:effectLst/>
            <a:latin typeface="+mn-lt"/>
            <a:ea typeface="+mn-ea"/>
            <a:cs typeface="+mn-cs"/>
          </a:endParaRPr>
        </a:p>
      </xdr:txBody>
    </xdr:sp>
    <xdr:clientData fPrintsWithSheet="0"/>
  </xdr:twoCellAnchor>
  <xdr:twoCellAnchor>
    <xdr:from>
      <xdr:col>0</xdr:col>
      <xdr:colOff>58783</xdr:colOff>
      <xdr:row>63</xdr:row>
      <xdr:rowOff>350158</xdr:rowOff>
    </xdr:from>
    <xdr:to>
      <xdr:col>1</xdr:col>
      <xdr:colOff>1242943</xdr:colOff>
      <xdr:row>63</xdr:row>
      <xdr:rowOff>2379550</xdr:rowOff>
    </xdr:to>
    <xdr:sp macro="" textlink="">
      <xdr:nvSpPr>
        <xdr:cNvPr id="12" name="Text Box 12">
          <a:extLst>
            <a:ext uri="{FF2B5EF4-FFF2-40B4-BE49-F238E27FC236}">
              <a16:creationId xmlns:a16="http://schemas.microsoft.com/office/drawing/2014/main" id="{00000000-0008-0000-0800-00000C000000}"/>
            </a:ext>
          </a:extLst>
        </xdr:cNvPr>
        <xdr:cNvSpPr txBox="1">
          <a:spLocks noChangeArrowheads="1"/>
        </xdr:cNvSpPr>
      </xdr:nvSpPr>
      <xdr:spPr bwMode="auto">
        <a:xfrm>
          <a:off x="58783" y="25587598"/>
          <a:ext cx="2952000" cy="2029392"/>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F</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Consulter des personnes-ressources, les parents ou la documentation pertinente en ce qui concerne les besoins et le cheminement des élèves, et en tenir compte dans son enseignement.</a:t>
          </a:r>
        </a:p>
        <a:p>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58783</xdr:colOff>
      <xdr:row>67</xdr:row>
      <xdr:rowOff>58783</xdr:rowOff>
    </xdr:from>
    <xdr:to>
      <xdr:col>1</xdr:col>
      <xdr:colOff>1242943</xdr:colOff>
      <xdr:row>67</xdr:row>
      <xdr:rowOff>1783080</xdr:rowOff>
    </xdr:to>
    <xdr:sp macro="" textlink="">
      <xdr:nvSpPr>
        <xdr:cNvPr id="13" name="Text Box 12">
          <a:extLst>
            <a:ext uri="{FF2B5EF4-FFF2-40B4-BE49-F238E27FC236}">
              <a16:creationId xmlns:a16="http://schemas.microsoft.com/office/drawing/2014/main" id="{00000000-0008-0000-0800-00000D000000}"/>
            </a:ext>
          </a:extLst>
        </xdr:cNvPr>
        <xdr:cNvSpPr txBox="1">
          <a:spLocks noChangeArrowheads="1"/>
        </xdr:cNvSpPr>
      </xdr:nvSpPr>
      <xdr:spPr bwMode="auto">
        <a:xfrm>
          <a:off x="58783" y="28496623"/>
          <a:ext cx="2952000" cy="1724297"/>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G</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Appliquer les modalités de demande de services pour les élèves présentant des difficultés d’adaptation ou d’apprentissage ou encore des signes de déficience ou de handicap.</a:t>
          </a:r>
        </a:p>
        <a:p>
          <a:endParaRPr lang="fr-CA" sz="1100">
            <a:solidFill>
              <a:srgbClr val="000000"/>
            </a:solidFill>
            <a:effectLst/>
            <a:latin typeface="+mn-lt"/>
            <a:ea typeface="+mn-ea"/>
            <a:cs typeface="+mn-cs"/>
          </a:endParaRPr>
        </a:p>
      </xdr:txBody>
    </xdr:sp>
    <xdr:clientData fPrintsWithSheet="0"/>
  </xdr:twoCellAnchor>
  <xdr:twoCellAnchor>
    <xdr:from>
      <xdr:col>0</xdr:col>
      <xdr:colOff>58783</xdr:colOff>
      <xdr:row>71</xdr:row>
      <xdr:rowOff>99061</xdr:rowOff>
    </xdr:from>
    <xdr:to>
      <xdr:col>1</xdr:col>
      <xdr:colOff>1242943</xdr:colOff>
      <xdr:row>71</xdr:row>
      <xdr:rowOff>1859281</xdr:rowOff>
    </xdr:to>
    <xdr:sp macro="" textlink="">
      <xdr:nvSpPr>
        <xdr:cNvPr id="14" name="Text Box 12">
          <a:extLst>
            <a:ext uri="{FF2B5EF4-FFF2-40B4-BE49-F238E27FC236}">
              <a16:creationId xmlns:a16="http://schemas.microsoft.com/office/drawing/2014/main" id="{00000000-0008-0000-0800-00000E000000}"/>
            </a:ext>
          </a:extLst>
        </xdr:cNvPr>
        <xdr:cNvSpPr txBox="1">
          <a:spLocks noChangeArrowheads="1"/>
        </xdr:cNvSpPr>
      </xdr:nvSpPr>
      <xdr:spPr bwMode="auto">
        <a:xfrm>
          <a:off x="58783" y="31341061"/>
          <a:ext cx="2952000" cy="1760220"/>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H</a:t>
          </a:r>
          <a:endParaRPr lang="fr-CA" sz="1200">
            <a:solidFill>
              <a:srgbClr val="000000"/>
            </a:solidFill>
            <a:effectLst/>
          </a:endParaRPr>
        </a:p>
        <a:p>
          <a:endParaRPr lang="fr-CA" sz="1100">
            <a:solidFill>
              <a:srgbClr val="000000"/>
            </a:solidFill>
            <a:effectLst/>
            <a:latin typeface="+mn-lt"/>
            <a:ea typeface="+mn-ea"/>
            <a:cs typeface="+mn-cs"/>
          </a:endParaRPr>
        </a:p>
        <a:p>
          <a:r>
            <a:rPr lang="fr-CA" sz="1100">
              <a:solidFill>
                <a:srgbClr val="000000"/>
              </a:solidFill>
              <a:effectLst/>
              <a:latin typeface="+mn-lt"/>
              <a:ea typeface="+mn-ea"/>
              <a:cs typeface="+mn-cs"/>
            </a:rPr>
            <a:t>Mettre en œuvre les plans d’intervention ou les plans d’aide à l’apprentissage, en collaboration avec l’équipe-école, et en assurer le suivi.</a:t>
          </a:r>
          <a:r>
            <a:rPr lang="fr-CA">
              <a:solidFill>
                <a:srgbClr val="000000"/>
              </a:solidFill>
              <a:effectLst/>
            </a:rPr>
            <a:t> </a:t>
          </a:r>
          <a:endParaRPr lang="fr-CA" sz="1100">
            <a:solidFill>
              <a:srgbClr val="000000"/>
            </a:solidFill>
            <a:effectLst/>
            <a:latin typeface="+mn-lt"/>
            <a:ea typeface="+mn-ea"/>
            <a:cs typeface="+mn-cs"/>
          </a:endParaRPr>
        </a:p>
      </xdr:txBody>
    </xdr:sp>
    <xdr:clientData fPrintsWithSheet="0"/>
  </xdr:twoCellAnchor>
  <xdr:twoCellAnchor>
    <xdr:from>
      <xdr:col>7</xdr:col>
      <xdr:colOff>958735</xdr:colOff>
      <xdr:row>55</xdr:row>
      <xdr:rowOff>645697</xdr:rowOff>
    </xdr:from>
    <xdr:to>
      <xdr:col>7</xdr:col>
      <xdr:colOff>1320799</xdr:colOff>
      <xdr:row>55</xdr:row>
      <xdr:rowOff>859972</xdr:rowOff>
    </xdr:to>
    <xdr:sp macro="" textlink="">
      <xdr:nvSpPr>
        <xdr:cNvPr id="15" name="Flèche droite 7">
          <a:extLst>
            <a:ext uri="{FF2B5EF4-FFF2-40B4-BE49-F238E27FC236}">
              <a16:creationId xmlns:a16="http://schemas.microsoft.com/office/drawing/2014/main" id="{00000000-0008-0000-0800-00000F000000}"/>
            </a:ext>
          </a:extLst>
        </xdr:cNvPr>
        <xdr:cNvSpPr/>
      </xdr:nvSpPr>
      <xdr:spPr>
        <a:xfrm>
          <a:off x="9861435" y="20089397"/>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958735</xdr:colOff>
      <xdr:row>59</xdr:row>
      <xdr:rowOff>645697</xdr:rowOff>
    </xdr:from>
    <xdr:to>
      <xdr:col>7</xdr:col>
      <xdr:colOff>1320799</xdr:colOff>
      <xdr:row>59</xdr:row>
      <xdr:rowOff>859972</xdr:rowOff>
    </xdr:to>
    <xdr:sp macro="" textlink="">
      <xdr:nvSpPr>
        <xdr:cNvPr id="16" name="Flèche droite 7">
          <a:extLst>
            <a:ext uri="{FF2B5EF4-FFF2-40B4-BE49-F238E27FC236}">
              <a16:creationId xmlns:a16="http://schemas.microsoft.com/office/drawing/2014/main" id="{00000000-0008-0000-0800-000010000000}"/>
            </a:ext>
          </a:extLst>
        </xdr:cNvPr>
        <xdr:cNvSpPr/>
      </xdr:nvSpPr>
      <xdr:spPr>
        <a:xfrm>
          <a:off x="9861435" y="20089397"/>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958735</xdr:colOff>
      <xdr:row>63</xdr:row>
      <xdr:rowOff>645697</xdr:rowOff>
    </xdr:from>
    <xdr:to>
      <xdr:col>7</xdr:col>
      <xdr:colOff>1320799</xdr:colOff>
      <xdr:row>63</xdr:row>
      <xdr:rowOff>859972</xdr:rowOff>
    </xdr:to>
    <xdr:sp macro="" textlink="">
      <xdr:nvSpPr>
        <xdr:cNvPr id="23" name="Flèche droite 7">
          <a:extLst>
            <a:ext uri="{FF2B5EF4-FFF2-40B4-BE49-F238E27FC236}">
              <a16:creationId xmlns:a16="http://schemas.microsoft.com/office/drawing/2014/main" id="{00000000-0008-0000-0800-000017000000}"/>
            </a:ext>
          </a:extLst>
        </xdr:cNvPr>
        <xdr:cNvSpPr/>
      </xdr:nvSpPr>
      <xdr:spPr>
        <a:xfrm>
          <a:off x="9861435" y="22959597"/>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991755</xdr:colOff>
      <xdr:row>67</xdr:row>
      <xdr:rowOff>953037</xdr:rowOff>
    </xdr:from>
    <xdr:to>
      <xdr:col>7</xdr:col>
      <xdr:colOff>1353819</xdr:colOff>
      <xdr:row>67</xdr:row>
      <xdr:rowOff>1167312</xdr:rowOff>
    </xdr:to>
    <xdr:sp macro="" textlink="">
      <xdr:nvSpPr>
        <xdr:cNvPr id="17" name="Flèche droite 7">
          <a:extLst>
            <a:ext uri="{FF2B5EF4-FFF2-40B4-BE49-F238E27FC236}">
              <a16:creationId xmlns:a16="http://schemas.microsoft.com/office/drawing/2014/main" id="{00000000-0008-0000-0800-000011000000}"/>
            </a:ext>
          </a:extLst>
        </xdr:cNvPr>
        <xdr:cNvSpPr/>
      </xdr:nvSpPr>
      <xdr:spPr>
        <a:xfrm>
          <a:off x="11172075" y="29390877"/>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1022235</xdr:colOff>
      <xdr:row>71</xdr:row>
      <xdr:rowOff>861597</xdr:rowOff>
    </xdr:from>
    <xdr:to>
      <xdr:col>7</xdr:col>
      <xdr:colOff>1384299</xdr:colOff>
      <xdr:row>71</xdr:row>
      <xdr:rowOff>1075872</xdr:rowOff>
    </xdr:to>
    <xdr:sp macro="" textlink="">
      <xdr:nvSpPr>
        <xdr:cNvPr id="24" name="Flèche droite 7">
          <a:extLst>
            <a:ext uri="{FF2B5EF4-FFF2-40B4-BE49-F238E27FC236}">
              <a16:creationId xmlns:a16="http://schemas.microsoft.com/office/drawing/2014/main" id="{00000000-0008-0000-0800-000018000000}"/>
            </a:ext>
          </a:extLst>
        </xdr:cNvPr>
        <xdr:cNvSpPr/>
      </xdr:nvSpPr>
      <xdr:spPr>
        <a:xfrm>
          <a:off x="11202555" y="32103597"/>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1479730</xdr:colOff>
      <xdr:row>43</xdr:row>
      <xdr:rowOff>822960</xdr:rowOff>
    </xdr:from>
    <xdr:to>
      <xdr:col>1</xdr:col>
      <xdr:colOff>1841794</xdr:colOff>
      <xdr:row>43</xdr:row>
      <xdr:rowOff>1035876</xdr:rowOff>
    </xdr:to>
    <xdr:sp macro="" textlink="">
      <xdr:nvSpPr>
        <xdr:cNvPr id="25" name="Flèche droite 7">
          <a:extLst>
            <a:ext uri="{FF2B5EF4-FFF2-40B4-BE49-F238E27FC236}">
              <a16:creationId xmlns:a16="http://schemas.microsoft.com/office/drawing/2014/main" id="{00000000-0008-0000-0800-000019000000}"/>
            </a:ext>
          </a:extLst>
        </xdr:cNvPr>
        <xdr:cNvSpPr/>
      </xdr:nvSpPr>
      <xdr:spPr>
        <a:xfrm>
          <a:off x="3255190" y="11018520"/>
          <a:ext cx="362064" cy="212916"/>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1432560</xdr:colOff>
      <xdr:row>47</xdr:row>
      <xdr:rowOff>854988</xdr:rowOff>
    </xdr:from>
    <xdr:to>
      <xdr:col>1</xdr:col>
      <xdr:colOff>1794624</xdr:colOff>
      <xdr:row>47</xdr:row>
      <xdr:rowOff>1067904</xdr:rowOff>
    </xdr:to>
    <xdr:sp macro="" textlink="">
      <xdr:nvSpPr>
        <xdr:cNvPr id="26" name="Flèche droite 7">
          <a:extLst>
            <a:ext uri="{FF2B5EF4-FFF2-40B4-BE49-F238E27FC236}">
              <a16:creationId xmlns:a16="http://schemas.microsoft.com/office/drawing/2014/main" id="{00000000-0008-0000-0800-00001A000000}"/>
            </a:ext>
          </a:extLst>
        </xdr:cNvPr>
        <xdr:cNvSpPr/>
      </xdr:nvSpPr>
      <xdr:spPr>
        <a:xfrm>
          <a:off x="3208020" y="13504188"/>
          <a:ext cx="362064" cy="212916"/>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1461587</xdr:colOff>
      <xdr:row>51</xdr:row>
      <xdr:rowOff>699971</xdr:rowOff>
    </xdr:from>
    <xdr:to>
      <xdr:col>1</xdr:col>
      <xdr:colOff>1823651</xdr:colOff>
      <xdr:row>51</xdr:row>
      <xdr:rowOff>912887</xdr:rowOff>
    </xdr:to>
    <xdr:sp macro="" textlink="">
      <xdr:nvSpPr>
        <xdr:cNvPr id="27" name="Flèche droite 7">
          <a:extLst>
            <a:ext uri="{FF2B5EF4-FFF2-40B4-BE49-F238E27FC236}">
              <a16:creationId xmlns:a16="http://schemas.microsoft.com/office/drawing/2014/main" id="{00000000-0008-0000-0800-00001B000000}"/>
            </a:ext>
          </a:extLst>
        </xdr:cNvPr>
        <xdr:cNvSpPr/>
      </xdr:nvSpPr>
      <xdr:spPr>
        <a:xfrm>
          <a:off x="3237047" y="16130471"/>
          <a:ext cx="362064" cy="212916"/>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1550487</xdr:colOff>
      <xdr:row>55</xdr:row>
      <xdr:rowOff>689221</xdr:rowOff>
    </xdr:from>
    <xdr:to>
      <xdr:col>1</xdr:col>
      <xdr:colOff>1912551</xdr:colOff>
      <xdr:row>55</xdr:row>
      <xdr:rowOff>902137</xdr:rowOff>
    </xdr:to>
    <xdr:sp macro="" textlink="">
      <xdr:nvSpPr>
        <xdr:cNvPr id="28" name="Flèche droite 7">
          <a:extLst>
            <a:ext uri="{FF2B5EF4-FFF2-40B4-BE49-F238E27FC236}">
              <a16:creationId xmlns:a16="http://schemas.microsoft.com/office/drawing/2014/main" id="{00000000-0008-0000-0800-00001C000000}"/>
            </a:ext>
          </a:extLst>
        </xdr:cNvPr>
        <xdr:cNvSpPr/>
      </xdr:nvSpPr>
      <xdr:spPr>
        <a:xfrm>
          <a:off x="3325947" y="19007701"/>
          <a:ext cx="362064" cy="212916"/>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1550487</xdr:colOff>
      <xdr:row>59</xdr:row>
      <xdr:rowOff>701331</xdr:rowOff>
    </xdr:from>
    <xdr:to>
      <xdr:col>1</xdr:col>
      <xdr:colOff>1912551</xdr:colOff>
      <xdr:row>59</xdr:row>
      <xdr:rowOff>914247</xdr:rowOff>
    </xdr:to>
    <xdr:sp macro="" textlink="">
      <xdr:nvSpPr>
        <xdr:cNvPr id="29" name="Flèche droite 7">
          <a:extLst>
            <a:ext uri="{FF2B5EF4-FFF2-40B4-BE49-F238E27FC236}">
              <a16:creationId xmlns:a16="http://schemas.microsoft.com/office/drawing/2014/main" id="{00000000-0008-0000-0800-00001D000000}"/>
            </a:ext>
          </a:extLst>
        </xdr:cNvPr>
        <xdr:cNvSpPr/>
      </xdr:nvSpPr>
      <xdr:spPr>
        <a:xfrm>
          <a:off x="3325947" y="21884931"/>
          <a:ext cx="362064" cy="212916"/>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1550487</xdr:colOff>
      <xdr:row>63</xdr:row>
      <xdr:rowOff>720093</xdr:rowOff>
    </xdr:from>
    <xdr:to>
      <xdr:col>1</xdr:col>
      <xdr:colOff>1912551</xdr:colOff>
      <xdr:row>63</xdr:row>
      <xdr:rowOff>933009</xdr:rowOff>
    </xdr:to>
    <xdr:sp macro="" textlink="">
      <xdr:nvSpPr>
        <xdr:cNvPr id="30" name="Flèche droite 7">
          <a:extLst>
            <a:ext uri="{FF2B5EF4-FFF2-40B4-BE49-F238E27FC236}">
              <a16:creationId xmlns:a16="http://schemas.microsoft.com/office/drawing/2014/main" id="{00000000-0008-0000-0800-00001E000000}"/>
            </a:ext>
          </a:extLst>
        </xdr:cNvPr>
        <xdr:cNvSpPr/>
      </xdr:nvSpPr>
      <xdr:spPr>
        <a:xfrm>
          <a:off x="3325947" y="24913593"/>
          <a:ext cx="362064" cy="212916"/>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1583507</xdr:colOff>
      <xdr:row>67</xdr:row>
      <xdr:rowOff>1020420</xdr:rowOff>
    </xdr:from>
    <xdr:to>
      <xdr:col>1</xdr:col>
      <xdr:colOff>1945571</xdr:colOff>
      <xdr:row>67</xdr:row>
      <xdr:rowOff>1233336</xdr:rowOff>
    </xdr:to>
    <xdr:sp macro="" textlink="">
      <xdr:nvSpPr>
        <xdr:cNvPr id="31" name="Flèche droite 7">
          <a:extLst>
            <a:ext uri="{FF2B5EF4-FFF2-40B4-BE49-F238E27FC236}">
              <a16:creationId xmlns:a16="http://schemas.microsoft.com/office/drawing/2014/main" id="{00000000-0008-0000-0800-00001F000000}"/>
            </a:ext>
          </a:extLst>
        </xdr:cNvPr>
        <xdr:cNvSpPr/>
      </xdr:nvSpPr>
      <xdr:spPr>
        <a:xfrm>
          <a:off x="3358967" y="28399080"/>
          <a:ext cx="362064" cy="212916"/>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1613987</xdr:colOff>
      <xdr:row>71</xdr:row>
      <xdr:rowOff>942249</xdr:rowOff>
    </xdr:from>
    <xdr:to>
      <xdr:col>1</xdr:col>
      <xdr:colOff>1950720</xdr:colOff>
      <xdr:row>71</xdr:row>
      <xdr:rowOff>1155165</xdr:rowOff>
    </xdr:to>
    <xdr:sp macro="" textlink="">
      <xdr:nvSpPr>
        <xdr:cNvPr id="32" name="Flèche droite 7">
          <a:extLst>
            <a:ext uri="{FF2B5EF4-FFF2-40B4-BE49-F238E27FC236}">
              <a16:creationId xmlns:a16="http://schemas.microsoft.com/office/drawing/2014/main" id="{00000000-0008-0000-0800-000020000000}"/>
            </a:ext>
          </a:extLst>
        </xdr:cNvPr>
        <xdr:cNvSpPr/>
      </xdr:nvSpPr>
      <xdr:spPr>
        <a:xfrm>
          <a:off x="3389447" y="31094589"/>
          <a:ext cx="336733" cy="212916"/>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editAs="oneCell">
    <xdr:from>
      <xdr:col>4</xdr:col>
      <xdr:colOff>0</xdr:colOff>
      <xdr:row>40</xdr:row>
      <xdr:rowOff>0</xdr:rowOff>
    </xdr:from>
    <xdr:to>
      <xdr:col>5</xdr:col>
      <xdr:colOff>254372</xdr:colOff>
      <xdr:row>40</xdr:row>
      <xdr:rowOff>231774</xdr:rowOff>
    </xdr:to>
    <xdr:pic>
      <xdr:nvPicPr>
        <xdr:cNvPr id="34" name="Image 33">
          <a:extLst>
            <a:ext uri="{FF2B5EF4-FFF2-40B4-BE49-F238E27FC236}">
              <a16:creationId xmlns:a16="http://schemas.microsoft.com/office/drawing/2014/main" id="{00000000-0008-0000-0800-000022000000}"/>
            </a:ext>
          </a:extLst>
        </xdr:cNvPr>
        <xdr:cNvPicPr>
          <a:picLocks noChangeAspect="1"/>
        </xdr:cNvPicPr>
      </xdr:nvPicPr>
      <xdr:blipFill>
        <a:blip xmlns:r="http://schemas.openxmlformats.org/officeDocument/2006/relationships" r:embed="rId2"/>
        <a:stretch>
          <a:fillRect/>
        </a:stretch>
      </xdr:blipFill>
      <xdr:spPr>
        <a:xfrm>
          <a:off x="5996940" y="9448800"/>
          <a:ext cx="254372" cy="231774"/>
        </a:xfrm>
        <a:prstGeom prst="rect">
          <a:avLst/>
        </a:prstGeom>
      </xdr:spPr>
    </xdr:pic>
    <xdr:clientData/>
  </xdr:twoCellAnchor>
  <xdr:twoCellAnchor>
    <xdr:from>
      <xdr:col>1</xdr:col>
      <xdr:colOff>0</xdr:colOff>
      <xdr:row>80</xdr:row>
      <xdr:rowOff>0</xdr:rowOff>
    </xdr:from>
    <xdr:to>
      <xdr:col>2</xdr:col>
      <xdr:colOff>0</xdr:colOff>
      <xdr:row>82</xdr:row>
      <xdr:rowOff>175259</xdr:rowOff>
    </xdr:to>
    <xdr:sp macro="" textlink="">
      <xdr:nvSpPr>
        <xdr:cNvPr id="33" name="Rectangle : coins arrondis 32" descr="Retour à la Présentation">
          <a:hlinkClick xmlns:r="http://schemas.openxmlformats.org/officeDocument/2006/relationships" r:id="rId4"/>
          <a:extLst>
            <a:ext uri="{FF2B5EF4-FFF2-40B4-BE49-F238E27FC236}">
              <a16:creationId xmlns:a16="http://schemas.microsoft.com/office/drawing/2014/main" id="{00000000-0008-0000-0800-000021000000}"/>
            </a:ext>
          </a:extLst>
        </xdr:cNvPr>
        <xdr:cNvSpPr/>
      </xdr:nvSpPr>
      <xdr:spPr>
        <a:xfrm>
          <a:off x="2034540" y="33451800"/>
          <a:ext cx="2110740" cy="525779"/>
        </a:xfrm>
        <a:prstGeom prst="roundRect">
          <a:avLst/>
        </a:prstGeom>
        <a:solidFill>
          <a:srgbClr val="74B4B9"/>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Retour à la Présentation</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0</xdr:col>
      <xdr:colOff>76200</xdr:colOff>
      <xdr:row>0</xdr:row>
      <xdr:rowOff>38100</xdr:rowOff>
    </xdr:from>
    <xdr:ext cx="1358900" cy="736600"/>
    <xdr:pic>
      <xdr:nvPicPr>
        <xdr:cNvPr id="2" name="logo_teluq_nb.eps" descr="Logo de l'Université TÉLUQ.">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38100"/>
          <a:ext cx="1358900" cy="736600"/>
        </a:xfrm>
        <a:prstGeom prst="rect">
          <a:avLst/>
        </a:prstGeom>
      </xdr:spPr>
    </xdr:pic>
    <xdr:clientData/>
  </xdr:oneCellAnchor>
  <xdr:twoCellAnchor>
    <xdr:from>
      <xdr:col>0</xdr:col>
      <xdr:colOff>0</xdr:colOff>
      <xdr:row>4</xdr:row>
      <xdr:rowOff>0</xdr:rowOff>
    </xdr:from>
    <xdr:to>
      <xdr:col>9</xdr:col>
      <xdr:colOff>30480</xdr:colOff>
      <xdr:row>11</xdr:row>
      <xdr:rowOff>114300</xdr:rowOff>
    </xdr:to>
    <xdr:sp macro="" textlink="">
      <xdr:nvSpPr>
        <xdr:cNvPr id="3" name="Text Box 12">
          <a:extLst>
            <a:ext uri="{FF2B5EF4-FFF2-40B4-BE49-F238E27FC236}">
              <a16:creationId xmlns:a16="http://schemas.microsoft.com/office/drawing/2014/main" id="{00000000-0008-0000-0900-000003000000}"/>
            </a:ext>
          </a:extLst>
        </xdr:cNvPr>
        <xdr:cNvSpPr txBox="1">
          <a:spLocks noChangeArrowheads="1"/>
        </xdr:cNvSpPr>
      </xdr:nvSpPr>
      <xdr:spPr bwMode="auto">
        <a:xfrm>
          <a:off x="0" y="1005840"/>
          <a:ext cx="17266920" cy="1341120"/>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a:r>
            <a:rPr lang="en-US" sz="1800" b="1" i="0" u="none" strike="noStrike" cap="all" baseline="0">
              <a:solidFill>
                <a:srgbClr val="000000"/>
              </a:solidFill>
              <a:effectLst/>
              <a:latin typeface="+mn-lt"/>
              <a:ea typeface="+mn-ea"/>
              <a:cs typeface="Arial"/>
            </a:rPr>
            <a:t>Champ 1 : six compétences spécialisées au cœur du travail fait avec et pour les élèves</a:t>
          </a:r>
          <a:endParaRPr lang="en-US" sz="1200" b="1" i="0" u="none" strike="noStrike" cap="all" baseline="0">
            <a:solidFill>
              <a:srgbClr val="000000"/>
            </a:solidFill>
            <a:effectLst/>
            <a:latin typeface="Arial"/>
            <a:ea typeface="+mn-ea"/>
            <a:cs typeface="Arial"/>
          </a:endParaRPr>
        </a:p>
        <a:p>
          <a:pPr algn="l"/>
          <a:endParaRPr lang="en-US" sz="1400" b="1" i="0" u="none" strike="noStrike" cap="all" baseline="0">
            <a:solidFill>
              <a:srgbClr val="000000"/>
            </a:solidFill>
            <a:effectLst/>
            <a:latin typeface="Arial"/>
            <a:ea typeface="+mn-ea"/>
            <a:cs typeface="Arial"/>
          </a:endParaRPr>
        </a:p>
        <a:p>
          <a:pPr algn="l"/>
          <a:r>
            <a:rPr lang="en-US" sz="1400" b="1" i="0" u="none" strike="noStrike" baseline="0">
              <a:solidFill>
                <a:srgbClr val="000000"/>
              </a:solidFill>
              <a:effectLst/>
              <a:latin typeface="Arial"/>
              <a:ea typeface="+mn-ea"/>
              <a:cs typeface="Arial"/>
            </a:rPr>
            <a:t>Compétence 8 : </a:t>
          </a:r>
          <a:r>
            <a:rPr lang="fr-CA" sz="1400" b="1">
              <a:solidFill>
                <a:srgbClr val="000000"/>
              </a:solidFill>
              <a:effectLst/>
              <a:latin typeface="+mn-lt"/>
              <a:ea typeface="+mn-ea"/>
              <a:cs typeface="+mn-cs"/>
            </a:rPr>
            <a:t>Soutenir le plaisir d’apprendre</a:t>
          </a:r>
        </a:p>
        <a:p>
          <a:pPr algn="l"/>
          <a:r>
            <a:rPr lang="fr-CA" sz="1400" i="1">
              <a:solidFill>
                <a:srgbClr val="000000"/>
              </a:solidFill>
              <a:effectLst/>
              <a:latin typeface="+mn-lt"/>
              <a:ea typeface="+mn-ea"/>
              <a:cs typeface="+mn-cs"/>
            </a:rPr>
            <a:t>Entretenir chez ses élèves le plaisir d’apprendre, le sens de la découverte et la curiosité en réunissant les conditions nécessaires à l’épanouissement de chacune et de chacun.</a:t>
          </a:r>
        </a:p>
      </xdr:txBody>
    </xdr:sp>
    <xdr:clientData fPrintsWithSheet="0"/>
  </xdr:twoCellAnchor>
  <xdr:twoCellAnchor editAs="oneCell">
    <xdr:from>
      <xdr:col>5</xdr:col>
      <xdr:colOff>1844040</xdr:colOff>
      <xdr:row>23</xdr:row>
      <xdr:rowOff>0</xdr:rowOff>
    </xdr:from>
    <xdr:to>
      <xdr:col>5</xdr:col>
      <xdr:colOff>2099994</xdr:colOff>
      <xdr:row>23</xdr:row>
      <xdr:rowOff>232371</xdr:rowOff>
    </xdr:to>
    <xdr:pic>
      <xdr:nvPicPr>
        <xdr:cNvPr id="4" name="Imag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tretch>
          <a:fillRect/>
        </a:stretch>
      </xdr:blipFill>
      <xdr:spPr>
        <a:xfrm>
          <a:off x="7917180" y="5498061"/>
          <a:ext cx="255954" cy="232371"/>
        </a:xfrm>
        <a:prstGeom prst="rect">
          <a:avLst/>
        </a:prstGeom>
      </xdr:spPr>
    </xdr:pic>
    <xdr:clientData/>
  </xdr:twoCellAnchor>
  <xdr:twoCellAnchor editAs="oneCell">
    <xdr:from>
      <xdr:col>8</xdr:col>
      <xdr:colOff>1057729</xdr:colOff>
      <xdr:row>4</xdr:row>
      <xdr:rowOff>128633</xdr:rowOff>
    </xdr:from>
    <xdr:to>
      <xdr:col>8</xdr:col>
      <xdr:colOff>1659437</xdr:colOff>
      <xdr:row>7</xdr:row>
      <xdr:rowOff>154074</xdr:rowOff>
    </xdr:to>
    <xdr:pic>
      <xdr:nvPicPr>
        <xdr:cNvPr id="7" name="Imag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3"/>
        <a:stretch>
          <a:fillRect/>
        </a:stretch>
      </xdr:blipFill>
      <xdr:spPr>
        <a:xfrm>
          <a:off x="15089415" y="1141004"/>
          <a:ext cx="601708" cy="547955"/>
        </a:xfrm>
        <a:prstGeom prst="rect">
          <a:avLst/>
        </a:prstGeom>
      </xdr:spPr>
    </xdr:pic>
    <xdr:clientData/>
  </xdr:twoCellAnchor>
  <xdr:twoCellAnchor>
    <xdr:from>
      <xdr:col>0</xdr:col>
      <xdr:colOff>106135</xdr:colOff>
      <xdr:row>44</xdr:row>
      <xdr:rowOff>289266</xdr:rowOff>
    </xdr:from>
    <xdr:to>
      <xdr:col>1</xdr:col>
      <xdr:colOff>1519010</xdr:colOff>
      <xdr:row>44</xdr:row>
      <xdr:rowOff>1796143</xdr:rowOff>
    </xdr:to>
    <xdr:sp macro="" textlink="">
      <xdr:nvSpPr>
        <xdr:cNvPr id="26" name="Text Box 12">
          <a:extLst>
            <a:ext uri="{FF2B5EF4-FFF2-40B4-BE49-F238E27FC236}">
              <a16:creationId xmlns:a16="http://schemas.microsoft.com/office/drawing/2014/main" id="{00000000-0008-0000-0900-00001A000000}"/>
            </a:ext>
          </a:extLst>
        </xdr:cNvPr>
        <xdr:cNvSpPr txBox="1">
          <a:spLocks noChangeArrowheads="1"/>
        </xdr:cNvSpPr>
      </xdr:nvSpPr>
      <xdr:spPr bwMode="auto">
        <a:xfrm>
          <a:off x="106135" y="11471616"/>
          <a:ext cx="3260725" cy="1506877"/>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pPr marL="0" indent="0"/>
          <a:r>
            <a:rPr lang="fr-CA" sz="1200" b="1" i="0" u="dbl" strike="noStrike" baseline="0">
              <a:solidFill>
                <a:srgbClr val="000000"/>
              </a:solidFill>
              <a:effectLst/>
              <a:latin typeface="Arial"/>
              <a:ea typeface="+mn-ea"/>
              <a:cs typeface="Arial"/>
            </a:rPr>
            <a:t>Dimension A</a:t>
          </a:r>
        </a:p>
        <a:p>
          <a:pPr marL="0" indent="0"/>
          <a:endParaRPr lang="fr-CA" sz="1200" b="1" i="0" u="dbl" strike="noStrike" baseline="0">
            <a:solidFill>
              <a:srgbClr val="000000"/>
            </a:solidFill>
            <a:effectLst/>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Construire et maintenir des relations positives avec les élèves pour susciter leur motivation pour l’apprentissage.</a:t>
          </a:r>
        </a:p>
        <a:p>
          <a:pPr marL="0" indent="0"/>
          <a:endParaRPr lang="fr-CA" sz="1200" b="1" i="0" u="dbl" strike="noStrike" baseline="0">
            <a:solidFill>
              <a:srgbClr val="000000"/>
            </a:solidFill>
            <a:effectLst/>
            <a:latin typeface="Arial"/>
            <a:ea typeface="+mn-ea"/>
            <a:cs typeface="Arial"/>
          </a:endParaRPr>
        </a:p>
      </xdr:txBody>
    </xdr:sp>
    <xdr:clientData fPrintsWithSheet="0"/>
  </xdr:twoCellAnchor>
  <xdr:twoCellAnchor>
    <xdr:from>
      <xdr:col>1</xdr:col>
      <xdr:colOff>1660865</xdr:colOff>
      <xdr:row>44</xdr:row>
      <xdr:rowOff>689240</xdr:rowOff>
    </xdr:from>
    <xdr:to>
      <xdr:col>1</xdr:col>
      <xdr:colOff>2022929</xdr:colOff>
      <xdr:row>44</xdr:row>
      <xdr:rowOff>903515</xdr:rowOff>
    </xdr:to>
    <xdr:sp macro="" textlink="">
      <xdr:nvSpPr>
        <xdr:cNvPr id="27" name="Flèche droite 7">
          <a:extLst>
            <a:ext uri="{FF2B5EF4-FFF2-40B4-BE49-F238E27FC236}">
              <a16:creationId xmlns:a16="http://schemas.microsoft.com/office/drawing/2014/main" id="{00000000-0008-0000-0900-00001B000000}"/>
            </a:ext>
          </a:extLst>
        </xdr:cNvPr>
        <xdr:cNvSpPr/>
      </xdr:nvSpPr>
      <xdr:spPr>
        <a:xfrm>
          <a:off x="3508715" y="11871590"/>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1018606</xdr:colOff>
      <xdr:row>44</xdr:row>
      <xdr:rowOff>798098</xdr:rowOff>
    </xdr:from>
    <xdr:to>
      <xdr:col>7</xdr:col>
      <xdr:colOff>1380670</xdr:colOff>
      <xdr:row>44</xdr:row>
      <xdr:rowOff>1012373</xdr:rowOff>
    </xdr:to>
    <xdr:sp macro="" textlink="">
      <xdr:nvSpPr>
        <xdr:cNvPr id="28" name="Flèche droite 7">
          <a:extLst>
            <a:ext uri="{FF2B5EF4-FFF2-40B4-BE49-F238E27FC236}">
              <a16:creationId xmlns:a16="http://schemas.microsoft.com/office/drawing/2014/main" id="{00000000-0008-0000-0900-00001C000000}"/>
            </a:ext>
          </a:extLst>
        </xdr:cNvPr>
        <xdr:cNvSpPr/>
      </xdr:nvSpPr>
      <xdr:spPr>
        <a:xfrm>
          <a:off x="10053749" y="12206327"/>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106135</xdr:colOff>
      <xdr:row>47</xdr:row>
      <xdr:rowOff>169523</xdr:rowOff>
    </xdr:from>
    <xdr:to>
      <xdr:col>1</xdr:col>
      <xdr:colOff>1519010</xdr:colOff>
      <xdr:row>48</xdr:row>
      <xdr:rowOff>1338943</xdr:rowOff>
    </xdr:to>
    <xdr:sp macro="" textlink="">
      <xdr:nvSpPr>
        <xdr:cNvPr id="29" name="Text Box 12">
          <a:extLst>
            <a:ext uri="{FF2B5EF4-FFF2-40B4-BE49-F238E27FC236}">
              <a16:creationId xmlns:a16="http://schemas.microsoft.com/office/drawing/2014/main" id="{00000000-0008-0000-0900-00001D000000}"/>
            </a:ext>
          </a:extLst>
        </xdr:cNvPr>
        <xdr:cNvSpPr txBox="1">
          <a:spLocks noChangeArrowheads="1"/>
        </xdr:cNvSpPr>
      </xdr:nvSpPr>
      <xdr:spPr bwMode="auto">
        <a:xfrm>
          <a:off x="106135" y="13809323"/>
          <a:ext cx="3260725" cy="1378970"/>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B</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Développer chez les élèves, au moyen d’expériences variées, la capacité à se faire confiance dans leur apprentissage.</a:t>
          </a:r>
          <a:endParaRPr lang="fr-CA" sz="1100">
            <a:solidFill>
              <a:srgbClr val="000000"/>
            </a:solidFill>
            <a:effectLst/>
            <a:latin typeface="+mn-lt"/>
            <a:ea typeface="+mn-ea"/>
            <a:cs typeface="+mn-cs"/>
          </a:endParaRPr>
        </a:p>
        <a:p>
          <a:pPr lvl="0"/>
          <a:endParaRPr lang="fr-CA" sz="1100">
            <a:solidFill>
              <a:srgbClr val="000000"/>
            </a:solidFill>
            <a:effectLst/>
            <a:latin typeface="+mn-lt"/>
            <a:ea typeface="+mn-ea"/>
            <a:cs typeface="+mn-cs"/>
          </a:endParaRPr>
        </a:p>
      </xdr:txBody>
    </xdr:sp>
    <xdr:clientData fPrintsWithSheet="0"/>
  </xdr:twoCellAnchor>
  <xdr:twoCellAnchor>
    <xdr:from>
      <xdr:col>1</xdr:col>
      <xdr:colOff>1660865</xdr:colOff>
      <xdr:row>48</xdr:row>
      <xdr:rowOff>558611</xdr:rowOff>
    </xdr:from>
    <xdr:to>
      <xdr:col>1</xdr:col>
      <xdr:colOff>2022929</xdr:colOff>
      <xdr:row>48</xdr:row>
      <xdr:rowOff>772886</xdr:rowOff>
    </xdr:to>
    <xdr:sp macro="" textlink="">
      <xdr:nvSpPr>
        <xdr:cNvPr id="30" name="Flèche droite 7">
          <a:extLst>
            <a:ext uri="{FF2B5EF4-FFF2-40B4-BE49-F238E27FC236}">
              <a16:creationId xmlns:a16="http://schemas.microsoft.com/office/drawing/2014/main" id="{00000000-0008-0000-0900-00001E000000}"/>
            </a:ext>
          </a:extLst>
        </xdr:cNvPr>
        <xdr:cNvSpPr/>
      </xdr:nvSpPr>
      <xdr:spPr>
        <a:xfrm>
          <a:off x="3508715" y="14407961"/>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1062151</xdr:colOff>
      <xdr:row>48</xdr:row>
      <xdr:rowOff>482411</xdr:rowOff>
    </xdr:from>
    <xdr:to>
      <xdr:col>7</xdr:col>
      <xdr:colOff>1424215</xdr:colOff>
      <xdr:row>48</xdr:row>
      <xdr:rowOff>696686</xdr:rowOff>
    </xdr:to>
    <xdr:sp macro="" textlink="">
      <xdr:nvSpPr>
        <xdr:cNvPr id="31" name="Flèche droite 7">
          <a:extLst>
            <a:ext uri="{FF2B5EF4-FFF2-40B4-BE49-F238E27FC236}">
              <a16:creationId xmlns:a16="http://schemas.microsoft.com/office/drawing/2014/main" id="{00000000-0008-0000-0900-00001F000000}"/>
            </a:ext>
          </a:extLst>
        </xdr:cNvPr>
        <xdr:cNvSpPr/>
      </xdr:nvSpPr>
      <xdr:spPr>
        <a:xfrm>
          <a:off x="10097294" y="14546754"/>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106135</xdr:colOff>
      <xdr:row>52</xdr:row>
      <xdr:rowOff>104208</xdr:rowOff>
    </xdr:from>
    <xdr:to>
      <xdr:col>1</xdr:col>
      <xdr:colOff>1519010</xdr:colOff>
      <xdr:row>52</xdr:row>
      <xdr:rowOff>1741715</xdr:rowOff>
    </xdr:to>
    <xdr:sp macro="" textlink="">
      <xdr:nvSpPr>
        <xdr:cNvPr id="32" name="Text Box 12">
          <a:extLst>
            <a:ext uri="{FF2B5EF4-FFF2-40B4-BE49-F238E27FC236}">
              <a16:creationId xmlns:a16="http://schemas.microsoft.com/office/drawing/2014/main" id="{00000000-0008-0000-0900-000020000000}"/>
            </a:ext>
          </a:extLst>
        </xdr:cNvPr>
        <xdr:cNvSpPr txBox="1">
          <a:spLocks noChangeArrowheads="1"/>
        </xdr:cNvSpPr>
      </xdr:nvSpPr>
      <xdr:spPr bwMode="auto">
        <a:xfrm>
          <a:off x="106135" y="16563408"/>
          <a:ext cx="3260725" cy="1637507"/>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C</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Développer chez les élèves la persévérance dans l’apprentissage par un soutien axé sur leurs efforts et leurs progrès.</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1</xdr:col>
      <xdr:colOff>1660865</xdr:colOff>
      <xdr:row>52</xdr:row>
      <xdr:rowOff>863411</xdr:rowOff>
    </xdr:from>
    <xdr:to>
      <xdr:col>1</xdr:col>
      <xdr:colOff>2022929</xdr:colOff>
      <xdr:row>52</xdr:row>
      <xdr:rowOff>1077686</xdr:rowOff>
    </xdr:to>
    <xdr:sp macro="" textlink="">
      <xdr:nvSpPr>
        <xdr:cNvPr id="33" name="Flèche droite 7">
          <a:extLst>
            <a:ext uri="{FF2B5EF4-FFF2-40B4-BE49-F238E27FC236}">
              <a16:creationId xmlns:a16="http://schemas.microsoft.com/office/drawing/2014/main" id="{00000000-0008-0000-0900-000021000000}"/>
            </a:ext>
          </a:extLst>
        </xdr:cNvPr>
        <xdr:cNvSpPr/>
      </xdr:nvSpPr>
      <xdr:spPr>
        <a:xfrm>
          <a:off x="3508715" y="17322611"/>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1116576</xdr:colOff>
      <xdr:row>52</xdr:row>
      <xdr:rowOff>841641</xdr:rowOff>
    </xdr:from>
    <xdr:to>
      <xdr:col>7</xdr:col>
      <xdr:colOff>1478640</xdr:colOff>
      <xdr:row>52</xdr:row>
      <xdr:rowOff>1055916</xdr:rowOff>
    </xdr:to>
    <xdr:sp macro="" textlink="">
      <xdr:nvSpPr>
        <xdr:cNvPr id="34" name="Flèche droite 7">
          <a:extLst>
            <a:ext uri="{FF2B5EF4-FFF2-40B4-BE49-F238E27FC236}">
              <a16:creationId xmlns:a16="http://schemas.microsoft.com/office/drawing/2014/main" id="{00000000-0008-0000-0900-000022000000}"/>
            </a:ext>
          </a:extLst>
        </xdr:cNvPr>
        <xdr:cNvSpPr/>
      </xdr:nvSpPr>
      <xdr:spPr>
        <a:xfrm>
          <a:off x="10151719" y="17518555"/>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0</xdr:col>
      <xdr:colOff>106135</xdr:colOff>
      <xdr:row>56</xdr:row>
      <xdr:rowOff>141515</xdr:rowOff>
    </xdr:from>
    <xdr:to>
      <xdr:col>1</xdr:col>
      <xdr:colOff>1519010</xdr:colOff>
      <xdr:row>56</xdr:row>
      <xdr:rowOff>1779020</xdr:rowOff>
    </xdr:to>
    <xdr:sp macro="" textlink="">
      <xdr:nvSpPr>
        <xdr:cNvPr id="8" name="Text Box 12">
          <a:extLst>
            <a:ext uri="{FF2B5EF4-FFF2-40B4-BE49-F238E27FC236}">
              <a16:creationId xmlns:a16="http://schemas.microsoft.com/office/drawing/2014/main" id="{00000000-0008-0000-0900-000008000000}"/>
            </a:ext>
          </a:extLst>
        </xdr:cNvPr>
        <xdr:cNvSpPr txBox="1">
          <a:spLocks noChangeArrowheads="1"/>
        </xdr:cNvSpPr>
      </xdr:nvSpPr>
      <xdr:spPr bwMode="auto">
        <a:xfrm>
          <a:off x="106135" y="19286765"/>
          <a:ext cx="3260725" cy="1637505"/>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D</a:t>
          </a:r>
          <a:endParaRPr lang="fr-CA" sz="1200">
            <a:solidFill>
              <a:srgbClr val="000000"/>
            </a:solidFill>
            <a:effectLst/>
          </a:endParaRPr>
        </a:p>
        <a:p>
          <a:endParaRPr lang="fr-CA" sz="1100">
            <a:solidFill>
              <a:srgbClr val="000000"/>
            </a:solidFill>
            <a:effectLst/>
            <a:latin typeface="+mn-lt"/>
            <a:ea typeface="+mn-ea"/>
            <a:cs typeface="+mn-cs"/>
          </a:endParaRPr>
        </a:p>
        <a:p>
          <a:r>
            <a:rPr lang="fr-CA" sz="1100">
              <a:solidFill>
                <a:srgbClr val="000000"/>
              </a:solidFill>
              <a:effectLst/>
              <a:latin typeface="+mn-lt"/>
              <a:ea typeface="+mn-ea"/>
              <a:cs typeface="+mn-cs"/>
            </a:rPr>
            <a:t>Encourager chez chaque élève l’utilisation de stratégies d’apprentissage qui valorisent et cultivent son autonomie.</a:t>
          </a:r>
          <a:r>
            <a:rPr lang="fr-CA">
              <a:solidFill>
                <a:srgbClr val="000000"/>
              </a:solidFill>
              <a:effectLst/>
            </a:rPr>
            <a:t> </a:t>
          </a:r>
          <a:endParaRPr lang="fr-CA" sz="1100">
            <a:solidFill>
              <a:srgbClr val="000000"/>
            </a:solidFill>
            <a:effectLst/>
            <a:latin typeface="+mn-lt"/>
            <a:ea typeface="+mn-ea"/>
            <a:cs typeface="+mn-cs"/>
          </a:endParaRPr>
        </a:p>
      </xdr:txBody>
    </xdr:sp>
    <xdr:clientData fPrintsWithSheet="0"/>
  </xdr:twoCellAnchor>
  <xdr:twoCellAnchor>
    <xdr:from>
      <xdr:col>0</xdr:col>
      <xdr:colOff>106135</xdr:colOff>
      <xdr:row>61</xdr:row>
      <xdr:rowOff>293915</xdr:rowOff>
    </xdr:from>
    <xdr:to>
      <xdr:col>1</xdr:col>
      <xdr:colOff>1519010</xdr:colOff>
      <xdr:row>61</xdr:row>
      <xdr:rowOff>1931421</xdr:rowOff>
    </xdr:to>
    <xdr:sp macro="" textlink="">
      <xdr:nvSpPr>
        <xdr:cNvPr id="9" name="Text Box 12">
          <a:extLst>
            <a:ext uri="{FF2B5EF4-FFF2-40B4-BE49-F238E27FC236}">
              <a16:creationId xmlns:a16="http://schemas.microsoft.com/office/drawing/2014/main" id="{00000000-0008-0000-0900-000009000000}"/>
            </a:ext>
          </a:extLst>
        </xdr:cNvPr>
        <xdr:cNvSpPr txBox="1">
          <a:spLocks noChangeArrowheads="1"/>
        </xdr:cNvSpPr>
      </xdr:nvSpPr>
      <xdr:spPr bwMode="auto">
        <a:xfrm>
          <a:off x="106135" y="22163315"/>
          <a:ext cx="3260725" cy="1637506"/>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E</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Intégrer aux situations d’enseignement et d’apprentissage des liens avec des éléments de la vie courante et des repères culturels tirés du bagage des élèves.</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106135</xdr:colOff>
      <xdr:row>65</xdr:row>
      <xdr:rowOff>152401</xdr:rowOff>
    </xdr:from>
    <xdr:to>
      <xdr:col>1</xdr:col>
      <xdr:colOff>1519010</xdr:colOff>
      <xdr:row>65</xdr:row>
      <xdr:rowOff>1883229</xdr:rowOff>
    </xdr:to>
    <xdr:sp macro="" textlink="">
      <xdr:nvSpPr>
        <xdr:cNvPr id="10" name="Text Box 12">
          <a:extLst>
            <a:ext uri="{FF2B5EF4-FFF2-40B4-BE49-F238E27FC236}">
              <a16:creationId xmlns:a16="http://schemas.microsoft.com/office/drawing/2014/main" id="{00000000-0008-0000-0900-00000A000000}"/>
            </a:ext>
          </a:extLst>
        </xdr:cNvPr>
        <xdr:cNvSpPr txBox="1">
          <a:spLocks noChangeArrowheads="1"/>
        </xdr:cNvSpPr>
      </xdr:nvSpPr>
      <xdr:spPr bwMode="auto">
        <a:xfrm>
          <a:off x="106135" y="24555451"/>
          <a:ext cx="3260725" cy="1730828"/>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F</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Susciter l’intérêt et la curiosité des élèves pour la discipline enseignée, les savoirs et les savoir-faire, les pratiques, les outils et les techniques, les méthodes et les procédures, l’histoire de la discipline ainsi que les enjeux, les réalisations, les acteurs, les courants de pensée et les débats qui ont marqué son évolution.</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0</xdr:colOff>
      <xdr:row>69</xdr:row>
      <xdr:rowOff>25730</xdr:rowOff>
    </xdr:from>
    <xdr:to>
      <xdr:col>1</xdr:col>
      <xdr:colOff>1412875</xdr:colOff>
      <xdr:row>69</xdr:row>
      <xdr:rowOff>1722613</xdr:rowOff>
    </xdr:to>
    <xdr:sp macro="" textlink="">
      <xdr:nvSpPr>
        <xdr:cNvPr id="11" name="Text Box 12">
          <a:extLst>
            <a:ext uri="{FF2B5EF4-FFF2-40B4-BE49-F238E27FC236}">
              <a16:creationId xmlns:a16="http://schemas.microsoft.com/office/drawing/2014/main" id="{00000000-0008-0000-0900-00000B000000}"/>
            </a:ext>
          </a:extLst>
        </xdr:cNvPr>
        <xdr:cNvSpPr txBox="1">
          <a:spLocks noChangeArrowheads="1"/>
        </xdr:cNvSpPr>
      </xdr:nvSpPr>
      <xdr:spPr bwMode="auto">
        <a:xfrm>
          <a:off x="0" y="27208348"/>
          <a:ext cx="3269384" cy="1696883"/>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G</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000000"/>
              </a:solidFill>
              <a:effectLst/>
              <a:latin typeface="+mn-lt"/>
              <a:ea typeface="+mn-ea"/>
              <a:cs typeface="+mn-cs"/>
            </a:rPr>
            <a:t>Prévoir des situations d’enseignement et d’apprentissage qui mobilisent la curiosité pour les activités d’apprentissage et qui sont susceptibles de correspondre aux champs d’intérêt des élèves.</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0</xdr:col>
      <xdr:colOff>20781</xdr:colOff>
      <xdr:row>73</xdr:row>
      <xdr:rowOff>10884</xdr:rowOff>
    </xdr:from>
    <xdr:to>
      <xdr:col>1</xdr:col>
      <xdr:colOff>1433656</xdr:colOff>
      <xdr:row>73</xdr:row>
      <xdr:rowOff>1707767</xdr:rowOff>
    </xdr:to>
    <xdr:sp macro="" textlink="">
      <xdr:nvSpPr>
        <xdr:cNvPr id="12" name="Text Box 12">
          <a:extLst>
            <a:ext uri="{FF2B5EF4-FFF2-40B4-BE49-F238E27FC236}">
              <a16:creationId xmlns:a16="http://schemas.microsoft.com/office/drawing/2014/main" id="{00000000-0008-0000-0900-00000C000000}"/>
            </a:ext>
          </a:extLst>
        </xdr:cNvPr>
        <xdr:cNvSpPr txBox="1">
          <a:spLocks noChangeArrowheads="1"/>
        </xdr:cNvSpPr>
      </xdr:nvSpPr>
      <xdr:spPr bwMode="auto">
        <a:xfrm>
          <a:off x="20781" y="29618048"/>
          <a:ext cx="3269384" cy="1696883"/>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H</a:t>
          </a:r>
          <a:endParaRPr lang="fr-CA" sz="1200">
            <a:solidFill>
              <a:srgbClr val="000000"/>
            </a:solidFill>
            <a:effectLst/>
          </a:endParaRPr>
        </a:p>
        <a:p>
          <a:endParaRPr lang="fr-CA" sz="1100">
            <a:solidFill>
              <a:srgbClr val="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Favoriser le travail collaboratif, les échanges, la participation et l’entraide chez les élèves.</a:t>
          </a:r>
        </a:p>
        <a:p>
          <a:endParaRPr lang="fr-CA" sz="1100">
            <a:solidFill>
              <a:srgbClr val="000000"/>
            </a:solidFill>
            <a:effectLst/>
            <a:latin typeface="+mn-lt"/>
            <a:ea typeface="+mn-ea"/>
            <a:cs typeface="+mn-cs"/>
          </a:endParaRPr>
        </a:p>
      </xdr:txBody>
    </xdr:sp>
    <xdr:clientData fPrintsWithSheet="0"/>
  </xdr:twoCellAnchor>
  <xdr:twoCellAnchor>
    <xdr:from>
      <xdr:col>0</xdr:col>
      <xdr:colOff>0</xdr:colOff>
      <xdr:row>77</xdr:row>
      <xdr:rowOff>15834</xdr:rowOff>
    </xdr:from>
    <xdr:to>
      <xdr:col>1</xdr:col>
      <xdr:colOff>1412875</xdr:colOff>
      <xdr:row>77</xdr:row>
      <xdr:rowOff>1706779</xdr:rowOff>
    </xdr:to>
    <xdr:sp macro="" textlink="">
      <xdr:nvSpPr>
        <xdr:cNvPr id="13" name="Text Box 12">
          <a:extLst>
            <a:ext uri="{FF2B5EF4-FFF2-40B4-BE49-F238E27FC236}">
              <a16:creationId xmlns:a16="http://schemas.microsoft.com/office/drawing/2014/main" id="{00000000-0008-0000-0900-00000D000000}"/>
            </a:ext>
          </a:extLst>
        </xdr:cNvPr>
        <xdr:cNvSpPr txBox="1">
          <a:spLocks noChangeArrowheads="1"/>
        </xdr:cNvSpPr>
      </xdr:nvSpPr>
      <xdr:spPr bwMode="auto">
        <a:xfrm>
          <a:off x="0" y="31922852"/>
          <a:ext cx="3269384" cy="1690945"/>
        </a:xfrm>
        <a:prstGeom prst="rect">
          <a:avLst/>
        </a:prstGeom>
        <a:solidFill>
          <a:srgbClr val="C1C2DA"/>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91440" tIns="45720" rIns="91440" bIns="45720" anchor="t" upright="1"/>
        <a:lstStyle/>
        <a:p>
          <a:pPr marL="0" indent="0" algn="l" rtl="0">
            <a:defRPr sz="1000"/>
          </a:pPr>
          <a:endParaRPr lang="en-US" sz="1200" b="1" i="0" u="none" strike="noStrike" baseline="0">
            <a:solidFill>
              <a:srgbClr val="000000"/>
            </a:solidFill>
            <a:effectLst/>
            <a:latin typeface="Arial"/>
            <a:ea typeface="+mn-ea"/>
            <a:cs typeface="Arial"/>
          </a:endParaRPr>
        </a:p>
        <a:p>
          <a:r>
            <a:rPr lang="fr-CA" sz="1100" b="1" i="0" u="dbl" baseline="0">
              <a:solidFill>
                <a:srgbClr val="000000"/>
              </a:solidFill>
              <a:effectLst/>
              <a:latin typeface="+mn-lt"/>
              <a:ea typeface="+mn-ea"/>
              <a:cs typeface="+mn-cs"/>
            </a:rPr>
            <a:t>Dimension I</a:t>
          </a:r>
          <a:endParaRPr lang="fr-CA" sz="1200">
            <a:solidFill>
              <a:srgbClr val="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rgbClr val="000000"/>
              </a:solidFill>
              <a:effectLst/>
              <a:latin typeface="+mn-lt"/>
              <a:ea typeface="+mn-ea"/>
              <a:cs typeface="+mn-cs"/>
            </a:rPr>
            <a:t>Amener les élèves à développer leur sentiment d’appartenance en les impliquant dans la vie de la classe et de l’école.</a:t>
          </a:r>
          <a:r>
            <a:rPr lang="fr-CA">
              <a:solidFill>
                <a:srgbClr val="000000"/>
              </a:solidFill>
              <a:effectLst/>
            </a:rPr>
            <a:t> </a:t>
          </a:r>
          <a:endParaRPr lang="fr-CA" sz="1100">
            <a:solidFill>
              <a:srgbClr val="000000"/>
            </a:solidFill>
            <a:effectLst/>
            <a:latin typeface="+mn-lt"/>
            <a:ea typeface="+mn-ea"/>
            <a:cs typeface="+mn-cs"/>
          </a:endParaRPr>
        </a:p>
        <a:p>
          <a:endParaRPr lang="fr-CA" sz="1100">
            <a:solidFill>
              <a:srgbClr val="000000"/>
            </a:solidFill>
            <a:effectLst/>
            <a:latin typeface="+mn-lt"/>
            <a:ea typeface="+mn-ea"/>
            <a:cs typeface="+mn-cs"/>
          </a:endParaRPr>
        </a:p>
      </xdr:txBody>
    </xdr:sp>
    <xdr:clientData fPrintsWithSheet="0"/>
  </xdr:twoCellAnchor>
  <xdr:twoCellAnchor>
    <xdr:from>
      <xdr:col>7</xdr:col>
      <xdr:colOff>1116576</xdr:colOff>
      <xdr:row>56</xdr:row>
      <xdr:rowOff>841641</xdr:rowOff>
    </xdr:from>
    <xdr:to>
      <xdr:col>7</xdr:col>
      <xdr:colOff>1478640</xdr:colOff>
      <xdr:row>56</xdr:row>
      <xdr:rowOff>1055916</xdr:rowOff>
    </xdr:to>
    <xdr:sp macro="" textlink="">
      <xdr:nvSpPr>
        <xdr:cNvPr id="5" name="Flèche droite 7">
          <a:extLst>
            <a:ext uri="{FF2B5EF4-FFF2-40B4-BE49-F238E27FC236}">
              <a16:creationId xmlns:a16="http://schemas.microsoft.com/office/drawing/2014/main" id="{00000000-0008-0000-0900-000005000000}"/>
            </a:ext>
          </a:extLst>
        </xdr:cNvPr>
        <xdr:cNvSpPr/>
      </xdr:nvSpPr>
      <xdr:spPr>
        <a:xfrm>
          <a:off x="10151719" y="17518555"/>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1660865</xdr:colOff>
      <xdr:row>56</xdr:row>
      <xdr:rowOff>740229</xdr:rowOff>
    </xdr:from>
    <xdr:to>
      <xdr:col>1</xdr:col>
      <xdr:colOff>2022929</xdr:colOff>
      <xdr:row>56</xdr:row>
      <xdr:rowOff>954504</xdr:rowOff>
    </xdr:to>
    <xdr:sp macro="" textlink="">
      <xdr:nvSpPr>
        <xdr:cNvPr id="6" name="Flèche droite 7">
          <a:extLst>
            <a:ext uri="{FF2B5EF4-FFF2-40B4-BE49-F238E27FC236}">
              <a16:creationId xmlns:a16="http://schemas.microsoft.com/office/drawing/2014/main" id="{00000000-0008-0000-0900-000006000000}"/>
            </a:ext>
          </a:extLst>
        </xdr:cNvPr>
        <xdr:cNvSpPr/>
      </xdr:nvSpPr>
      <xdr:spPr>
        <a:xfrm>
          <a:off x="3508715" y="19885479"/>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1116576</xdr:colOff>
      <xdr:row>61</xdr:row>
      <xdr:rowOff>841641</xdr:rowOff>
    </xdr:from>
    <xdr:to>
      <xdr:col>7</xdr:col>
      <xdr:colOff>1478640</xdr:colOff>
      <xdr:row>61</xdr:row>
      <xdr:rowOff>1055916</xdr:rowOff>
    </xdr:to>
    <xdr:sp macro="" textlink="">
      <xdr:nvSpPr>
        <xdr:cNvPr id="14" name="Flèche droite 7">
          <a:extLst>
            <a:ext uri="{FF2B5EF4-FFF2-40B4-BE49-F238E27FC236}">
              <a16:creationId xmlns:a16="http://schemas.microsoft.com/office/drawing/2014/main" id="{00000000-0008-0000-0900-00000E000000}"/>
            </a:ext>
          </a:extLst>
        </xdr:cNvPr>
        <xdr:cNvSpPr/>
      </xdr:nvSpPr>
      <xdr:spPr>
        <a:xfrm>
          <a:off x="10151719" y="20207327"/>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1116576</xdr:colOff>
      <xdr:row>65</xdr:row>
      <xdr:rowOff>841641</xdr:rowOff>
    </xdr:from>
    <xdr:to>
      <xdr:col>7</xdr:col>
      <xdr:colOff>1478640</xdr:colOff>
      <xdr:row>65</xdr:row>
      <xdr:rowOff>1055916</xdr:rowOff>
    </xdr:to>
    <xdr:sp macro="" textlink="">
      <xdr:nvSpPr>
        <xdr:cNvPr id="15" name="Flèche droite 7">
          <a:extLst>
            <a:ext uri="{FF2B5EF4-FFF2-40B4-BE49-F238E27FC236}">
              <a16:creationId xmlns:a16="http://schemas.microsoft.com/office/drawing/2014/main" id="{00000000-0008-0000-0900-00000F000000}"/>
            </a:ext>
          </a:extLst>
        </xdr:cNvPr>
        <xdr:cNvSpPr/>
      </xdr:nvSpPr>
      <xdr:spPr>
        <a:xfrm>
          <a:off x="10151719" y="20207327"/>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1660865</xdr:colOff>
      <xdr:row>61</xdr:row>
      <xdr:rowOff>816429</xdr:rowOff>
    </xdr:from>
    <xdr:to>
      <xdr:col>1</xdr:col>
      <xdr:colOff>2022929</xdr:colOff>
      <xdr:row>61</xdr:row>
      <xdr:rowOff>1030704</xdr:rowOff>
    </xdr:to>
    <xdr:sp macro="" textlink="">
      <xdr:nvSpPr>
        <xdr:cNvPr id="16" name="Flèche droite 7">
          <a:extLst>
            <a:ext uri="{FF2B5EF4-FFF2-40B4-BE49-F238E27FC236}">
              <a16:creationId xmlns:a16="http://schemas.microsoft.com/office/drawing/2014/main" id="{00000000-0008-0000-0900-000010000000}"/>
            </a:ext>
          </a:extLst>
        </xdr:cNvPr>
        <xdr:cNvSpPr/>
      </xdr:nvSpPr>
      <xdr:spPr>
        <a:xfrm>
          <a:off x="3508715" y="22685829"/>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1660865</xdr:colOff>
      <xdr:row>65</xdr:row>
      <xdr:rowOff>718458</xdr:rowOff>
    </xdr:from>
    <xdr:to>
      <xdr:col>1</xdr:col>
      <xdr:colOff>2007689</xdr:colOff>
      <xdr:row>65</xdr:row>
      <xdr:rowOff>932733</xdr:rowOff>
    </xdr:to>
    <xdr:sp macro="" textlink="">
      <xdr:nvSpPr>
        <xdr:cNvPr id="18" name="Flèche droite 7">
          <a:extLst>
            <a:ext uri="{FF2B5EF4-FFF2-40B4-BE49-F238E27FC236}">
              <a16:creationId xmlns:a16="http://schemas.microsoft.com/office/drawing/2014/main" id="{00000000-0008-0000-0900-000012000000}"/>
            </a:ext>
          </a:extLst>
        </xdr:cNvPr>
        <xdr:cNvSpPr/>
      </xdr:nvSpPr>
      <xdr:spPr>
        <a:xfrm>
          <a:off x="3508715" y="25121508"/>
          <a:ext cx="34682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1666060</xdr:colOff>
      <xdr:row>69</xdr:row>
      <xdr:rowOff>668236</xdr:rowOff>
    </xdr:from>
    <xdr:to>
      <xdr:col>1</xdr:col>
      <xdr:colOff>2012884</xdr:colOff>
      <xdr:row>69</xdr:row>
      <xdr:rowOff>882511</xdr:rowOff>
    </xdr:to>
    <xdr:sp macro="" textlink="">
      <xdr:nvSpPr>
        <xdr:cNvPr id="17" name="Flèche droite 7">
          <a:extLst>
            <a:ext uri="{FF2B5EF4-FFF2-40B4-BE49-F238E27FC236}">
              <a16:creationId xmlns:a16="http://schemas.microsoft.com/office/drawing/2014/main" id="{00000000-0008-0000-0900-000011000000}"/>
            </a:ext>
          </a:extLst>
        </xdr:cNvPr>
        <xdr:cNvSpPr/>
      </xdr:nvSpPr>
      <xdr:spPr>
        <a:xfrm>
          <a:off x="3522569" y="27850854"/>
          <a:ext cx="34682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1707624</xdr:colOff>
      <xdr:row>73</xdr:row>
      <xdr:rowOff>723654</xdr:rowOff>
    </xdr:from>
    <xdr:to>
      <xdr:col>1</xdr:col>
      <xdr:colOff>2054448</xdr:colOff>
      <xdr:row>73</xdr:row>
      <xdr:rowOff>937929</xdr:rowOff>
    </xdr:to>
    <xdr:sp macro="" textlink="">
      <xdr:nvSpPr>
        <xdr:cNvPr id="19" name="Flèche droite 7">
          <a:extLst>
            <a:ext uri="{FF2B5EF4-FFF2-40B4-BE49-F238E27FC236}">
              <a16:creationId xmlns:a16="http://schemas.microsoft.com/office/drawing/2014/main" id="{00000000-0008-0000-0900-000013000000}"/>
            </a:ext>
          </a:extLst>
        </xdr:cNvPr>
        <xdr:cNvSpPr/>
      </xdr:nvSpPr>
      <xdr:spPr>
        <a:xfrm>
          <a:off x="3564133" y="30330818"/>
          <a:ext cx="34682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1</xdr:col>
      <xdr:colOff>1707624</xdr:colOff>
      <xdr:row>77</xdr:row>
      <xdr:rowOff>612818</xdr:rowOff>
    </xdr:from>
    <xdr:to>
      <xdr:col>1</xdr:col>
      <xdr:colOff>2054448</xdr:colOff>
      <xdr:row>77</xdr:row>
      <xdr:rowOff>827093</xdr:rowOff>
    </xdr:to>
    <xdr:sp macro="" textlink="">
      <xdr:nvSpPr>
        <xdr:cNvPr id="20" name="Flèche droite 7">
          <a:extLst>
            <a:ext uri="{FF2B5EF4-FFF2-40B4-BE49-F238E27FC236}">
              <a16:creationId xmlns:a16="http://schemas.microsoft.com/office/drawing/2014/main" id="{00000000-0008-0000-0900-000014000000}"/>
            </a:ext>
          </a:extLst>
        </xdr:cNvPr>
        <xdr:cNvSpPr/>
      </xdr:nvSpPr>
      <xdr:spPr>
        <a:xfrm>
          <a:off x="3564133" y="32519836"/>
          <a:ext cx="34682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1090846</xdr:colOff>
      <xdr:row>73</xdr:row>
      <xdr:rowOff>630854</xdr:rowOff>
    </xdr:from>
    <xdr:to>
      <xdr:col>7</xdr:col>
      <xdr:colOff>1452910</xdr:colOff>
      <xdr:row>73</xdr:row>
      <xdr:rowOff>845129</xdr:rowOff>
    </xdr:to>
    <xdr:sp macro="" textlink="">
      <xdr:nvSpPr>
        <xdr:cNvPr id="21" name="Flèche droite 7">
          <a:extLst>
            <a:ext uri="{FF2B5EF4-FFF2-40B4-BE49-F238E27FC236}">
              <a16:creationId xmlns:a16="http://schemas.microsoft.com/office/drawing/2014/main" id="{00000000-0008-0000-0900-000015000000}"/>
            </a:ext>
          </a:extLst>
        </xdr:cNvPr>
        <xdr:cNvSpPr/>
      </xdr:nvSpPr>
      <xdr:spPr>
        <a:xfrm>
          <a:off x="13740046" y="30293436"/>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1118555</xdr:colOff>
      <xdr:row>69</xdr:row>
      <xdr:rowOff>741691</xdr:rowOff>
    </xdr:from>
    <xdr:to>
      <xdr:col>7</xdr:col>
      <xdr:colOff>1480619</xdr:colOff>
      <xdr:row>69</xdr:row>
      <xdr:rowOff>955966</xdr:rowOff>
    </xdr:to>
    <xdr:sp macro="" textlink="">
      <xdr:nvSpPr>
        <xdr:cNvPr id="22" name="Flèche droite 7">
          <a:extLst>
            <a:ext uri="{FF2B5EF4-FFF2-40B4-BE49-F238E27FC236}">
              <a16:creationId xmlns:a16="http://schemas.microsoft.com/office/drawing/2014/main" id="{00000000-0008-0000-0900-000016000000}"/>
            </a:ext>
          </a:extLst>
        </xdr:cNvPr>
        <xdr:cNvSpPr/>
      </xdr:nvSpPr>
      <xdr:spPr>
        <a:xfrm>
          <a:off x="13767755" y="27952018"/>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xdr:from>
      <xdr:col>7</xdr:col>
      <xdr:colOff>1049282</xdr:colOff>
      <xdr:row>77</xdr:row>
      <xdr:rowOff>575437</xdr:rowOff>
    </xdr:from>
    <xdr:to>
      <xdr:col>7</xdr:col>
      <xdr:colOff>1411346</xdr:colOff>
      <xdr:row>77</xdr:row>
      <xdr:rowOff>789712</xdr:rowOff>
    </xdr:to>
    <xdr:sp macro="" textlink="">
      <xdr:nvSpPr>
        <xdr:cNvPr id="23" name="Flèche droite 7">
          <a:extLst>
            <a:ext uri="{FF2B5EF4-FFF2-40B4-BE49-F238E27FC236}">
              <a16:creationId xmlns:a16="http://schemas.microsoft.com/office/drawing/2014/main" id="{00000000-0008-0000-0900-000017000000}"/>
            </a:ext>
          </a:extLst>
        </xdr:cNvPr>
        <xdr:cNvSpPr/>
      </xdr:nvSpPr>
      <xdr:spPr>
        <a:xfrm>
          <a:off x="13698482" y="32565582"/>
          <a:ext cx="362064" cy="214275"/>
        </a:xfrm>
        <a:prstGeom prst="rightArrow">
          <a:avLst/>
        </a:prstGeom>
        <a:solidFill>
          <a:srgbClr val="777777"/>
        </a:solidFill>
        <a:ln w="9525" cap="flat" cmpd="sng" algn="ctr">
          <a:solidFill>
            <a:schemeClr val="tx1">
              <a:lumMod val="100000"/>
            </a:schemeClr>
          </a:solidFill>
          <a:prstDash val="solid"/>
          <a:round/>
          <a:headEnd type="none" w="med" len="med"/>
          <a:tailEnd type="none" w="med" len="med"/>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fr-CA" sz="1000" b="1"/>
        </a:p>
      </xdr:txBody>
    </xdr:sp>
    <xdr:clientData/>
  </xdr:twoCellAnchor>
  <xdr:twoCellAnchor editAs="oneCell">
    <xdr:from>
      <xdr:col>5</xdr:col>
      <xdr:colOff>0</xdr:colOff>
      <xdr:row>41</xdr:row>
      <xdr:rowOff>0</xdr:rowOff>
    </xdr:from>
    <xdr:to>
      <xdr:col>5</xdr:col>
      <xdr:colOff>254372</xdr:colOff>
      <xdr:row>41</xdr:row>
      <xdr:rowOff>231774</xdr:rowOff>
    </xdr:to>
    <xdr:pic>
      <xdr:nvPicPr>
        <xdr:cNvPr id="24" name="Image 23">
          <a:extLst>
            <a:ext uri="{FF2B5EF4-FFF2-40B4-BE49-F238E27FC236}">
              <a16:creationId xmlns:a16="http://schemas.microsoft.com/office/drawing/2014/main" id="{00000000-0008-0000-0900-000018000000}"/>
            </a:ext>
          </a:extLst>
        </xdr:cNvPr>
        <xdr:cNvPicPr>
          <a:picLocks noChangeAspect="1"/>
        </xdr:cNvPicPr>
      </xdr:nvPicPr>
      <xdr:blipFill>
        <a:blip xmlns:r="http://schemas.openxmlformats.org/officeDocument/2006/relationships" r:embed="rId2"/>
        <a:stretch>
          <a:fillRect/>
        </a:stretch>
      </xdr:blipFill>
      <xdr:spPr>
        <a:xfrm>
          <a:off x="8437418" y="9892145"/>
          <a:ext cx="254372" cy="231774"/>
        </a:xfrm>
        <a:prstGeom prst="rect">
          <a:avLst/>
        </a:prstGeom>
      </xdr:spPr>
    </xdr:pic>
    <xdr:clientData/>
  </xdr:twoCellAnchor>
  <xdr:twoCellAnchor>
    <xdr:from>
      <xdr:col>1</xdr:col>
      <xdr:colOff>0</xdr:colOff>
      <xdr:row>85</xdr:row>
      <xdr:rowOff>175259</xdr:rowOff>
    </xdr:from>
    <xdr:to>
      <xdr:col>2</xdr:col>
      <xdr:colOff>0</xdr:colOff>
      <xdr:row>88</xdr:row>
      <xdr:rowOff>175258</xdr:rowOff>
    </xdr:to>
    <xdr:sp macro="" textlink="">
      <xdr:nvSpPr>
        <xdr:cNvPr id="37" name="Rectangle : coins arrondis 36" descr="Retour à la Présentation">
          <a:hlinkClick xmlns:r="http://schemas.openxmlformats.org/officeDocument/2006/relationships" r:id="rId4"/>
          <a:extLst>
            <a:ext uri="{FF2B5EF4-FFF2-40B4-BE49-F238E27FC236}">
              <a16:creationId xmlns:a16="http://schemas.microsoft.com/office/drawing/2014/main" id="{00000000-0008-0000-0900-000025000000}"/>
            </a:ext>
          </a:extLst>
        </xdr:cNvPr>
        <xdr:cNvSpPr/>
      </xdr:nvSpPr>
      <xdr:spPr>
        <a:xfrm>
          <a:off x="2034540" y="34267139"/>
          <a:ext cx="2110740" cy="525779"/>
        </a:xfrm>
        <a:prstGeom prst="roundRect">
          <a:avLst/>
        </a:prstGeom>
        <a:solidFill>
          <a:srgbClr val="74B4B9"/>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lang="fr-CA" sz="1000" b="1" spc="200" baseline="0">
              <a:solidFill>
                <a:schemeClr val="tx1"/>
              </a:solidFill>
              <a:latin typeface="+mn-lt"/>
              <a:ea typeface="+mn-ea"/>
              <a:cs typeface="+mn-cs"/>
            </a:rPr>
            <a:t>Retour à la Présentation</a:t>
          </a:r>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__Compétences" xr10:uid="{5546BD5B-84B5-4F78-A9DE-67F96800DAD2}" sourceName="# Compétences">
  <extLst>
    <x:ext xmlns:x15="http://schemas.microsoft.com/office/spreadsheetml/2010/11/main" uri="{2F2917AC-EB37-4324-AD4E-5DD8C200BD13}">
      <x15:tableSlicerCache tableId="16"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Groupe" xr10:uid="{DB880746-742D-4B28-A08E-61D08A9C90E4}" sourceName="Groupe">
  <extLst>
    <x:ext xmlns:x15="http://schemas.microsoft.com/office/spreadsheetml/2010/11/main" uri="{2F2917AC-EB37-4324-AD4E-5DD8C200BD13}">
      <x15:tableSlicerCache tableId="16"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 Compétences" xr10:uid="{8FBE7B14-ADD1-4817-943F-521C960EA607}" cache="Segment___Compétences" caption="# Compétences" style="EDU6046" rowHeight="234950"/>
  <slicer name="Groupe" xr10:uid="{1FF1D6A2-D24D-4B5C-9390-C9EE645A1E61}" cache="Segment_Groupe" caption="Groupe" style="EDU6046"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FAEB07-26B1-4518-B154-FA6E3846FF99}" name="Tableau1" displayName="Tableau1" ref="A28:I36" totalsRowShown="0" headerRowDxfId="195" dataDxfId="193" headerRowBorderDxfId="194" tableBorderDxfId="192">
  <tableColumns count="9">
    <tableColumn id="1" xr3:uid="{98FBB1CD-EB4C-47DC-A56E-2ADB6D8572D0}" name="Compétence 1" dataDxfId="191"/>
    <tableColumn id="2" xr3:uid="{61997EAE-5CC7-4C36-815B-E29F3B28AC15}" name="Personne enseignante" dataDxfId="190"/>
    <tableColumn id="3" xr3:uid="{89BDDF9B-6BF2-402F-BE36-085DCBEF3C55}" name="Résultats For1" dataDxfId="189"/>
    <tableColumn id="18" xr3:uid="{882CDCDC-AC82-4D4E-BF4B-5B62FB3FC5F0}" name="Responsable de l’encadrement" dataDxfId="188"/>
    <tableColumn id="4" xr3:uid="{DCE1065B-1931-4D47-8EB7-6DC58E967389}" name="Résultats For2" dataDxfId="187">
      <calculatedColumnFormula>VLOOKUP(Tableau1[[#This Row],[Responsable de l’encadrement]],Feuil_M!$A$3:$B$8,2,FALSE)</calculatedColumnFormula>
    </tableColumn>
    <tableColumn id="6" xr3:uid="{A6184C7B-21AA-43BD-BB2A-6C1DC55527CE}" name="Personne enseignante2" dataDxfId="186"/>
    <tableColumn id="7" xr3:uid="{8EA695A4-A685-40C1-A3A2-76E0270A7A1F}" name="Résultats Som1" dataDxfId="185">
      <calculatedColumnFormula>VLOOKUP(Tableau1[[#This Row],[Personne enseignante2]],Feuil_M!$A$3:$B$8,2,FALSE)</calculatedColumnFormula>
    </tableColumn>
    <tableColumn id="8" xr3:uid="{0CB205BF-2666-445E-B624-6E8D555EBEF2}" name="Responsable de l’encadrement2" dataDxfId="184"/>
    <tableColumn id="9" xr3:uid="{F21E0293-8D6F-4D92-AAFF-BAA9733423F7}" name="Résultats Som2" dataDxfId="183">
      <calculatedColumnFormula>VLOOKUP(Tableau1[[#This Row],[Responsable de l’encadrement2]],Feuil_M!$A$3:$B$8,2,FALSE)</calculatedColumnFormula>
    </tableColumn>
  </tableColumns>
  <tableStyleInfo name="ConstructionBidSheet_table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DE01A7F-017D-4F98-A14F-EC9EEF949176}" name="Tableau10" displayName="Tableau10" ref="A28:I35" totalsRowShown="0" headerRowDxfId="84" dataDxfId="83" tableBorderDxfId="82">
  <tableColumns count="9">
    <tableColumn id="1" xr3:uid="{3653C333-22C2-486D-B5FA-850CAD654E98}" name="Compétence 10" dataDxfId="81"/>
    <tableColumn id="2" xr3:uid="{B74E5B67-00B0-481E-8960-FB1DA1187B62}" name="Personne enseignante" dataDxfId="80"/>
    <tableColumn id="3" xr3:uid="{8EB350F0-AAA3-4556-93A3-A395BD3DD3E2}" name="Résultats For1" dataDxfId="79">
      <calculatedColumnFormula>VLOOKUP(Tableau10[[#This Row],[Personne enseignante]],Feuil_M!$A$3:$B$8,2,FALSE)</calculatedColumnFormula>
    </tableColumn>
    <tableColumn id="4" xr3:uid="{0DB72C63-173E-4A60-951A-9EF011F1EED4}" name="Responsable de l’encadrement" dataDxfId="78"/>
    <tableColumn id="5" xr3:uid="{E799FF66-6686-4ADC-96E3-6D82ECC1E15E}" name="Résultats For2" dataDxfId="77">
      <calculatedColumnFormula>VLOOKUP(Tableau10[[#This Row],[Responsable de l’encadrement]],Feuil_M!$A$3:$B$8,2,FALSE)</calculatedColumnFormula>
    </tableColumn>
    <tableColumn id="6" xr3:uid="{3CB123A3-9011-4667-A740-A1338EB71CF7}" name="Personne enseignante2" dataDxfId="76"/>
    <tableColumn id="7" xr3:uid="{CFAE626B-E464-4BED-9C6B-75D1F3046AE7}" name="Résultats Som1" dataDxfId="75">
      <calculatedColumnFormula>VLOOKUP(Tableau10[[#This Row],[Personne enseignante2]],Feuil_M!$A$3:$B$8,2,FALSE)</calculatedColumnFormula>
    </tableColumn>
    <tableColumn id="8" xr3:uid="{5362C246-441C-4057-870F-45B039A3A674}" name="Responsable de l’encadrement2" dataDxfId="74"/>
    <tableColumn id="9" xr3:uid="{C51C9CB2-5935-4FF5-9BD9-2DF220CC822C}" name="Résultats Som2" dataDxfId="73">
      <calculatedColumnFormula>VLOOKUP(Tableau10[[#This Row],[Responsable de l’encadrement2]],Feuil_M!$A$3:$B$8,2,FALSE)</calculatedColumnFormula>
    </tableColumn>
  </tableColumns>
  <tableStyleInfo name="ConstructionBidSheet_table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AC37A4E-4E00-44F2-93F8-CC791210A1BA}" name="Tableau11" displayName="Tableau11" ref="A28:I37" totalsRowShown="0" headerRowDxfId="72" dataDxfId="71" tableBorderDxfId="70">
  <tableColumns count="9">
    <tableColumn id="1" xr3:uid="{511E3355-4095-47D8-BD4C-14065BF9DC8E}" name="Compétence 11" dataDxfId="69"/>
    <tableColumn id="2" xr3:uid="{31CC8791-9C08-413D-A847-47D80F460039}" name="Personne enseignante" dataDxfId="68"/>
    <tableColumn id="3" xr3:uid="{984CFB49-8FB6-45BE-AD31-267D8D5DDE8F}" name="Résultats For1" dataDxfId="67">
      <calculatedColumnFormula>VLOOKUP(Tableau11[[#This Row],[Personne enseignante]],Feuil_M!$A$3:$B$8,2,FALSE)</calculatedColumnFormula>
    </tableColumn>
    <tableColumn id="4" xr3:uid="{12035420-06AB-40C6-9C44-2B3372D91ED1}" name="Responsable de l’encadrement" dataDxfId="66"/>
    <tableColumn id="5" xr3:uid="{44AF6D70-1041-4E35-BEE9-736854B0ED5F}" name="Résultats For2" dataDxfId="65">
      <calculatedColumnFormula>VLOOKUP(Tableau11[[#This Row],[Responsable de l’encadrement]],Feuil_M!$A$3:$B$8,2,FALSE)</calculatedColumnFormula>
    </tableColumn>
    <tableColumn id="6" xr3:uid="{8DCCE0F0-110D-4CE6-92ED-60C7ADB35C95}" name="Personne enseignante2" dataDxfId="64"/>
    <tableColumn id="7" xr3:uid="{6A76C0E6-8C53-4990-B6D6-4092150C86D6}" name="Résultats Som1" dataDxfId="63">
      <calculatedColumnFormula>VLOOKUP(Tableau11[[#This Row],[Personne enseignante2]],Feuil_M!$A$3:$B$8,2,FALSE)</calculatedColumnFormula>
    </tableColumn>
    <tableColumn id="8" xr3:uid="{6289CEC1-B4BA-409E-83D4-09734B1E4514}" name="Responsable de l’encadrement2" dataDxfId="62"/>
    <tableColumn id="9" xr3:uid="{0526A79E-1F23-400C-BCCF-F722683D9404}" name="Résultats Som2" dataDxfId="61">
      <calculatedColumnFormula>VLOOKUP(Tableau11[[#This Row],[Responsable de l’encadrement2]],Feuil_M!$A$3:$B$8,2,FALSE)</calculatedColumnFormula>
    </tableColumn>
  </tableColumns>
  <tableStyleInfo name="ConstructionBidSheet_table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9C2CC70-5910-4F20-8C2A-6C24939C8826}" name="Tableau12" displayName="Tableau12" ref="A28:I40" totalsRowShown="0" headerRowDxfId="60" dataDxfId="59" tableBorderDxfId="58">
  <tableColumns count="9">
    <tableColumn id="1" xr3:uid="{1220AFF3-BBBE-4ADD-8B27-AACC7FF17B2D}" name="Compétence 12" dataDxfId="57"/>
    <tableColumn id="2" xr3:uid="{C4FCB845-60A1-417C-8394-A75903DDA018}" name="Personne enseignante" dataDxfId="56"/>
    <tableColumn id="3" xr3:uid="{5A732699-32B6-4745-8A62-F69B2EE07001}" name="Résultats For1" dataDxfId="55">
      <calculatedColumnFormula>VLOOKUP(Tableau12[[#This Row],[Personne enseignante]],Feuil_M!$A$3:$B$8,2,FALSE)</calculatedColumnFormula>
    </tableColumn>
    <tableColumn id="4" xr3:uid="{04649EBD-2CA3-4A95-B430-0D82EC2422BC}" name="Responsable de l’encadrement" dataDxfId="54"/>
    <tableColumn id="5" xr3:uid="{263C8BB8-30A0-4768-BCEE-37C8E0CF63E0}" name="Résultats For2" dataDxfId="53">
      <calculatedColumnFormula>VLOOKUP(Tableau12[[#This Row],[Responsable de l’encadrement]],Feuil_M!$A$3:$B$8,2,FALSE)</calculatedColumnFormula>
    </tableColumn>
    <tableColumn id="6" xr3:uid="{4B473CA1-7F80-4BB8-9EAE-C9897DC38400}" name="Personne enseignante2" dataDxfId="52"/>
    <tableColumn id="7" xr3:uid="{5931C445-7431-4350-B22D-E932419EE876}" name="Résultats Som1" dataDxfId="51">
      <calculatedColumnFormula>VLOOKUP(Tableau12[[#This Row],[Personne enseignante2]],Feuil_M!$A$3:$B$8,2,FALSE)</calculatedColumnFormula>
    </tableColumn>
    <tableColumn id="8" xr3:uid="{2CC959A3-3884-4D3F-9D90-775A128FDE72}" name="Responsable de l’encadrement2" dataDxfId="50"/>
    <tableColumn id="9" xr3:uid="{0D73AAAC-FFE0-444E-9EDD-FC56270BE496}" name="Résultats Som2" dataDxfId="49">
      <calculatedColumnFormula>VLOOKUP(Tableau12[[#This Row],[Responsable de l’encadrement2]],Feuil_M!$A$3:$B$8,2,FALSE)</calculatedColumnFormula>
    </tableColumn>
  </tableColumns>
  <tableStyleInfo name="ConstructionBidSheet_table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54B60F0-433A-4481-88EC-5819A4996449}" name="Tableau13" displayName="Tableau13" ref="A28:I36" totalsRowShown="0" headerRowDxfId="48" dataDxfId="47" tableBorderDxfId="46">
  <tableColumns count="9">
    <tableColumn id="1" xr3:uid="{39BE5542-BC9B-4CE5-8206-C75B9DB49ECB}" name="Compétence 13" dataDxfId="45"/>
    <tableColumn id="2" xr3:uid="{E42523D5-B1D2-487E-A7F1-615A49C7E574}" name="Personne enseignante" dataDxfId="44"/>
    <tableColumn id="3" xr3:uid="{354364AA-3E63-4320-B34D-5A9192AC4045}" name="Résultats For1" dataDxfId="43">
      <calculatedColumnFormula>VLOOKUP(Tableau13[[#This Row],[Personne enseignante]],Feuil_M!$A$3:$B$8,2,FALSE)</calculatedColumnFormula>
    </tableColumn>
    <tableColumn id="4" xr3:uid="{EAAF4F07-A684-4FE4-BC4E-37740DF47702}" name="Responsable de l’encadrement" dataDxfId="42"/>
    <tableColumn id="5" xr3:uid="{33FA1F7F-C5D1-42E4-BEEE-8813C0294C60}" name="Résultats For2" dataDxfId="41">
      <calculatedColumnFormula>VLOOKUP(Tableau13[[#This Row],[Responsable de l’encadrement]],Feuil_M!$A$3:$B$8,2,FALSE)</calculatedColumnFormula>
    </tableColumn>
    <tableColumn id="6" xr3:uid="{A041C629-439C-4133-AD06-D50611F8D5E6}" name="Personne enseignante2" dataDxfId="40"/>
    <tableColumn id="7" xr3:uid="{C60272BA-431B-4753-A0C6-786409EEB884}" name="Résultats Som1" dataDxfId="39">
      <calculatedColumnFormula>VLOOKUP(Tableau13[[#This Row],[Personne enseignante2]],Feuil_M!$A$3:$B$8,2,FALSE)</calculatedColumnFormula>
    </tableColumn>
    <tableColumn id="8" xr3:uid="{8D5A525E-7BE8-4517-AD5D-B2267B193BF5}" name="Responsable de l’encadrement2" dataDxfId="38"/>
    <tableColumn id="9" xr3:uid="{93906C61-44E3-4564-9EA2-E754D6361BF8}" name="Résultats Som2" dataDxfId="37">
      <calculatedColumnFormula>VLOOKUP(Tableau13[[#This Row],[Responsable de l’encadrement2]],Feuil_M!$A$3:$B$8,2,FALSE)</calculatedColumnFormula>
    </tableColumn>
  </tableColumns>
  <tableStyleInfo name="ConstructionBidSheet_table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1618441-E773-41B9-A199-CA9B11D944B8}" name="BilanFS_Data" displayName="BilanFS_Data" ref="C13:G26" totalsRowShown="0">
  <autoFilter ref="C13:G26" xr:uid="{41618441-E773-41B9-A199-CA9B11D944B8}"/>
  <tableColumns count="5">
    <tableColumn id="1" xr3:uid="{D3109B4B-0BD7-4EBE-B072-324B87843A0F}" name="Compétences"/>
    <tableColumn id="2" xr3:uid="{A4E692C4-370F-40D2-AEEE-582B910BAE17}" name="Pers.enseignante Formatif" dataDxfId="36"/>
    <tableColumn id="3" xr3:uid="{C06F281D-0036-4217-A610-9505D80C3803}" name="Resp.encadrement Formatif" dataDxfId="35"/>
    <tableColumn id="4" xr3:uid="{842236E9-5114-4CF5-9A16-A838E4F93564}" name="Pers.enseignante Sommatif" dataDxfId="34"/>
    <tableColumn id="5" xr3:uid="{D116485C-CDBA-4986-B682-A6DA0744346D}" name="Resp.encadrement Sommatif" dataDxfId="33"/>
  </tableColumns>
  <tableStyleInfo name="ConstructionBidSheet_table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EC5F434-02F2-4661-AA18-2E7CB26F5758}" name="tblGroupeCompetence" displayName="tblGroupeCompetence" ref="A60:B73" totalsRowShown="0">
  <autoFilter ref="A60:B73" xr:uid="{DEC5F434-02F2-4661-AA18-2E7CB26F5758}"/>
  <tableColumns count="2">
    <tableColumn id="1" xr3:uid="{402F92A3-0342-44DB-A01B-040639A2CE33}" name="Comp" dataDxfId="32"/>
    <tableColumn id="2" xr3:uid="{6F95BAFE-BA26-48DA-801C-30E8C0FA68DF}" name="Groupe"/>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04B7846-2B02-4441-918D-1939BABA371D}" name="tblBilanFormatifSommatif" displayName="tblBilanFormatifSommatif" ref="I42:AE55" totalsRowShown="0">
  <autoFilter ref="I42:AE55" xr:uid="{804B7846-2B02-4441-918D-1939BABA371D}"/>
  <sortState xmlns:xlrd2="http://schemas.microsoft.com/office/spreadsheetml/2017/richdata2" ref="I43:P55">
    <sortCondition ref="I25:I38"/>
  </sortState>
  <tableColumns count="23">
    <tableColumn id="9" xr3:uid="{505436FA-C078-4B38-93B9-DFFB950EB0D5}" name="Groupe" dataDxfId="31"/>
    <tableColumn id="1" xr3:uid="{EF6BB58E-A57D-403E-81FD-474E24F80D46}" name="# Compétences" dataDxfId="30"/>
    <tableColumn id="6" xr3:uid="{F90BE745-9C5A-43F2-83C0-44AA9865A7B4}" name="Compétences"/>
    <tableColumn id="2" xr3:uid="{3341CF79-BBCE-4C9B-A29A-0502CCF85795}" name="Pers.enseignante Formatif F" dataDxfId="29">
      <calculatedColumnFormula>IF(AND($B$78=TRUE,tblBilanFormatifSommatif[[#This Row],[Groupe]]="Fondatrices"),D14,NA())</calculatedColumnFormula>
    </tableColumn>
    <tableColumn id="10" xr3:uid="{C9D3DFB8-2DA7-47A6-8A0B-5C9CAF78C697}" name="Pers.enseignante Formatif c1" dataDxfId="28">
      <calculatedColumnFormula>IF(AND($B$78=TRUE,tblBilanFormatifSommatif[[#This Row],[Groupe]]="Champ 1"),D14,NA())</calculatedColumnFormula>
    </tableColumn>
    <tableColumn id="11" xr3:uid="{C3CAB0CA-0FE6-46F5-BA90-2E53C5C5F10D}" name="Pers.enseignante Formatif c2" dataDxfId="27">
      <calculatedColumnFormula>IF(AND($B$78=TRUE,tblBilanFormatifSommatif[[#This Row],[Groupe]]="Champ 2"),D14,NA())</calculatedColumnFormula>
    </tableColumn>
    <tableColumn id="12" xr3:uid="{72F8F1B2-9111-4D15-BE87-03002C93F5AF}" name="Pers.enseignante Formatif c3" dataDxfId="26">
      <calculatedColumnFormula>IF(AND($B$78=TRUE,tblBilanFormatifSommatif[[#This Row],[Groupe]]="Champ 3"),D14,NA())</calculatedColumnFormula>
    </tableColumn>
    <tableColumn id="13" xr3:uid="{FEE257BA-A7C2-408C-8589-F0EA4772D979}" name="Pers.enseignante Formatif T" dataDxfId="25">
      <calculatedColumnFormula>IF(AND($B$78=TRUE,tblBilanFormatifSommatif[[#This Row],[Groupe]]="Transversales"),D14,NA())</calculatedColumnFormula>
    </tableColumn>
    <tableColumn id="14" xr3:uid="{D103E108-148D-44BC-9563-4B3519F388AB}" name="Pers.encadrement Formatif F" dataDxfId="24">
      <calculatedColumnFormula>IF(AND($B$79=TRUE,tblBilanFormatifSommatif[[#This Row],[Groupe]]="Fondatrices"),E14,NA())</calculatedColumnFormula>
    </tableColumn>
    <tableColumn id="15" xr3:uid="{396A7B51-A9EB-4804-B4B7-10C3CC08A6E2}" name="Pers.encadrement Formatif c1" dataDxfId="23">
      <calculatedColumnFormula>IF(AND($B$79=TRUE,tblBilanFormatifSommatif[[#This Row],[Groupe]]="Champ 1"),E14,NA())</calculatedColumnFormula>
    </tableColumn>
    <tableColumn id="16" xr3:uid="{CE3AAA9E-7EB3-48FD-A130-F4B5D614CED6}" name="Pers.encadrement Formatif c2" dataDxfId="22">
      <calculatedColumnFormula>IF(AND($B$79=TRUE,tblBilanFormatifSommatif[[#This Row],[Groupe]]="Champ 2"),E14,NA())</calculatedColumnFormula>
    </tableColumn>
    <tableColumn id="17" xr3:uid="{A5956F86-937C-4E51-8B5E-207C0C661862}" name="Pers.encadrement Formatif c3" dataDxfId="21">
      <calculatedColumnFormula>IF(AND($B$79=TRUE,tblBilanFormatifSommatif[[#This Row],[Groupe]]="Champ 3"),E14,NA())</calculatedColumnFormula>
    </tableColumn>
    <tableColumn id="18" xr3:uid="{C9D336A0-46C4-48FB-8134-1C03EBCA3C42}" name="Pers.encadrement Formatif T" dataDxfId="20">
      <calculatedColumnFormula>IF(AND($B$79=TRUE,tblBilanFormatifSommatif[[#This Row],[Groupe]]="Transversales"),E14,NA())</calculatedColumnFormula>
    </tableColumn>
    <tableColumn id="3" xr3:uid="{CC715F70-2D9C-4670-9897-3340116DBBA5}" name="Pers.enseignante Sommatif F" dataDxfId="19">
      <calculatedColumnFormula>IF(AND($B$80=TRUE,tblBilanFormatifSommatif[[#This Row],[Groupe]]="Fondatrices"),F14,"")</calculatedColumnFormula>
    </tableColumn>
    <tableColumn id="4" xr3:uid="{4676D2CC-7BC8-44E0-9808-1039D3E36881}" name="Pers.enseignante Sommatif c1" dataDxfId="18">
      <calculatedColumnFormula>IF(AND($B$80=TRUE,tblBilanFormatifSommatif[[#This Row],[Groupe]]="Champ 1"),F14,"")</calculatedColumnFormula>
    </tableColumn>
    <tableColumn id="5" xr3:uid="{84CF2AC2-0AD1-4647-A604-4955D9573B28}" name="Pers.enseignante Sommatif c2" dataDxfId="17">
      <calculatedColumnFormula>IF(AND($B$80=TRUE,tblBilanFormatifSommatif[[#This Row],[Groupe]]="Champ 2"),F14,"")</calculatedColumnFormula>
    </tableColumn>
    <tableColumn id="7" xr3:uid="{7DE9A63F-E5AC-43E3-A2E9-0EE34F217607}" name="Pers.enseignante Sommatif c3" dataDxfId="16">
      <calculatedColumnFormula>IF(AND($B$80=TRUE,tblBilanFormatifSommatif[[#This Row],[Groupe]]="Champ 3"),F14,"")</calculatedColumnFormula>
    </tableColumn>
    <tableColumn id="8" xr3:uid="{2F7ED256-0542-4464-B863-FD65C48BA629}" name="Pers.enseignante Sommatif T" dataDxfId="15">
      <calculatedColumnFormula>IF(AND($B$80=TRUE,tblBilanFormatifSommatif[[#This Row],[Groupe]]="Transversales"),F14,"")</calculatedColumnFormula>
    </tableColumn>
    <tableColumn id="19" xr3:uid="{EFC78EDA-0087-4C71-94BD-27745B97C887}" name="Pers.encadrement Sommatif F" dataDxfId="14">
      <calculatedColumnFormula>IF(AND($B$81=TRUE,tblBilanFormatifSommatif[[#This Row],[Groupe]]="Fondatrices"),G14,"")</calculatedColumnFormula>
    </tableColumn>
    <tableColumn id="20" xr3:uid="{06011A4D-6BFB-44F9-BEC1-7B17803772BA}" name="Pers.encadrement Sommatif c1" dataDxfId="13">
      <calculatedColumnFormula>IF(AND($B$81=TRUE,tblBilanFormatifSommatif[[#This Row],[Groupe]]="Champ 1"),G14,"")</calculatedColumnFormula>
    </tableColumn>
    <tableColumn id="21" xr3:uid="{3E80D243-C2DF-473F-8C74-74EC48DDB8E1}" name="Pers.encadrement Sommatif c2" dataDxfId="12">
      <calculatedColumnFormula>IF(AND($B$81=TRUE,tblBilanFormatifSommatif[[#This Row],[Groupe]]="Champ 2"),G14,"")</calculatedColumnFormula>
    </tableColumn>
    <tableColumn id="22" xr3:uid="{4EF2A91A-9E21-4A2E-B09D-D5E898B8ABFF}" name="Pers.encadrement Sommatif c3" dataDxfId="11">
      <calculatedColumnFormula>IF(AND($B$81=TRUE,tblBilanFormatifSommatif[[#This Row],[Groupe]]="Champ 3"),G14,"")</calculatedColumnFormula>
    </tableColumn>
    <tableColumn id="23" xr3:uid="{0BCA0E64-B21B-4D11-AEDE-FA2CD9D50A1F}" name="Pers.encadrement Sommatif T" dataDxfId="10">
      <calculatedColumnFormula>IF(AND($B$81=TRUE,tblBilanFormatifSommatif[[#This Row],[Groupe]]="Transversales"),G14,"")</calculatedColumnFormula>
    </tableColumn>
  </tableColumns>
  <tableStyleInfo name="ConstructionBidSheet_table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5AA6D1D-B696-413C-AC81-2C329A871E4A}" name="tblTypeBilan" displayName="tblTypeBilan" ref="A77:B81" totalsRowShown="0">
  <autoFilter ref="A77:B81" xr:uid="{05AA6D1D-B696-413C-AC81-2C329A871E4A}"/>
  <tableColumns count="2">
    <tableColumn id="1" xr3:uid="{C0965D38-8FC0-42A8-B86E-6B6DCCE3350D}" name="Type de bilan"/>
    <tableColumn id="2" xr3:uid="{91236F00-B409-45AD-B20C-9231EFE46F0F}" name="CheckBox"/>
  </tableColumns>
  <tableStyleInfo name="ConstructionBidSheet_table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8344ABB-8BCE-4023-9784-2B2A3D96B83A}" name="tblPointage" displayName="tblPointage" ref="A2:B8" totalsRowShown="0" tableBorderDxfId="9">
  <autoFilter ref="A2:B8" xr:uid="{F8344ABB-8BCE-4023-9784-2B2A3D96B83A}"/>
  <tableColumns count="2">
    <tableColumn id="1" xr3:uid="{317FECC4-859C-41E4-9077-9F00EC6BB5C9}" name="Légende:" dataDxfId="8"/>
    <tableColumn id="2" xr3:uid="{F8F991D3-15A6-4853-8AFC-3FF3122FE25D}" name="Pointage associé" dataDxfId="7"/>
  </tableColumns>
  <tableStyleInfo name="ConstructionBidSheet_table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A1108BB-DA88-41A3-9707-B7EEB059845E}" name="tblDim" displayName="tblDim" ref="B85:G98" totalsRowShown="0" dataDxfId="6">
  <autoFilter ref="B85:G98" xr:uid="{2A1108BB-DA88-41A3-9707-B7EEB059845E}"/>
  <tableColumns count="6">
    <tableColumn id="1" xr3:uid="{57BC57F6-49D6-49D8-879F-C65F1A8E1C62}" name="Compétences" dataDxfId="5"/>
    <tableColumn id="2" xr3:uid="{A9AB4A64-BA93-4898-AA8A-66DCAE45C0FB}" name="Nombre de dimension" dataDxfId="4">
      <calculatedColumnFormula>ROWS(INDIRECT("Tableau" &amp; B86 ))</calculatedColumnFormula>
    </tableColumn>
    <tableColumn id="3" xr3:uid="{18719B8D-9EFC-46AB-AB17-6826EEDB9FAE}" name="For1 Nbr dim saisi" dataDxfId="3">
      <calculatedColumnFormula>COUNTIF(INDIRECT("Tableau" &amp; B86 &amp; "[Résultats For1]"),"&lt;&gt;-")</calculatedColumnFormula>
    </tableColumn>
    <tableColumn id="4" xr3:uid="{83C69656-9A45-4769-8FB5-6440755399F8}" name="For2 Nbr dim saisi" dataDxfId="2">
      <calculatedColumnFormula>COUNTIF(INDIRECT("Tableau" &amp; B86 &amp; "[Résultats For2]"),"&lt;&gt;-")</calculatedColumnFormula>
    </tableColumn>
    <tableColumn id="5" xr3:uid="{4264B985-14C0-4AA5-8F95-A49E4FE4A0CE}" name="Som1 Nbr dim saisi" dataDxfId="1">
      <calculatedColumnFormula>COUNTIF(INDIRECT("Tableau" &amp; B86 &amp; "[Résultats Som1]"),"&lt;&gt;-")</calculatedColumnFormula>
    </tableColumn>
    <tableColumn id="6" xr3:uid="{C3544C1B-6075-4737-A7C8-D4D0A49641A4}" name="Som2 Nbr dim saisi" dataDxfId="0">
      <calculatedColumnFormula>COUNTIF(INDIRECT("Tableau" &amp; B86 &amp; "[Résultats Som2]"),"&lt;&gt;-")</calculatedColumnFormula>
    </tableColumn>
  </tableColumns>
  <tableStyleInfo name="ConstructionBidSheet_table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A34F04B-553E-4841-A5C1-4A7D21DC1D05}" name="Tableau2" displayName="Tableau2" ref="A28:I36" totalsRowShown="0" headerRowDxfId="182" dataDxfId="180" headerRowBorderDxfId="181" tableBorderDxfId="179">
  <tableColumns count="9">
    <tableColumn id="1" xr3:uid="{BE388836-E2EC-4E6D-8116-56838F87A21B}" name="Compétence 2" dataDxfId="178"/>
    <tableColumn id="2" xr3:uid="{0C824B6A-E50E-41F0-990B-0FD5919EE563}" name="Personne enseignante" dataDxfId="177"/>
    <tableColumn id="3" xr3:uid="{F000E219-1762-4869-B779-0BE5FD27B1FA}" name="Résultats For1" dataDxfId="176"/>
    <tableColumn id="4" xr3:uid="{8799687D-A946-4E3C-B993-E272F139B1ED}" name="Responsable de l’encadrement" dataDxfId="175"/>
    <tableColumn id="5" xr3:uid="{7D0FFFA4-05F1-4168-9F88-AFA9D4491CBC}" name="Résultats For2" dataDxfId="174">
      <calculatedColumnFormula>VLOOKUP(Tableau2[[#This Row],[Responsable de l’encadrement]],Feuil_M!$A$3:$B$8,2,FALSE)</calculatedColumnFormula>
    </tableColumn>
    <tableColumn id="6" xr3:uid="{9945C5DA-2CB2-42D1-A58B-6812649C1E76}" name="Personne enseignante2" dataDxfId="173"/>
    <tableColumn id="7" xr3:uid="{B8972B62-AA35-454C-B54F-3CAED3EE9A10}" name="Résultats Som1" dataDxfId="172">
      <calculatedColumnFormula>VLOOKUP(Tableau2[[#This Row],[Personne enseignante2]],Feuil_M!$A$3:$B$8,2,FALSE)</calculatedColumnFormula>
    </tableColumn>
    <tableColumn id="8" xr3:uid="{5BF932D9-4AD3-4FF9-837B-ADEDD95C1132}" name="Responsable de l’encadrement2" dataDxfId="171"/>
    <tableColumn id="9" xr3:uid="{66748A7E-AED3-4A73-AAAC-D5063659CF89}" name="Résultats Som2" dataDxfId="170">
      <calculatedColumnFormula>VLOOKUP(Tableau2[[#This Row],[Responsable de l’encadrement2]],Feuil_M!$A$3:$B$8,2,FALSE)</calculatedColumnFormula>
    </tableColumn>
  </tableColumns>
  <tableStyleInfo name="ConstructionBidSheet_table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0C85F52-11AF-49BC-8088-4D6918F049EC}" name="Tableau3" displayName="Tableau3" ref="A28:I38" totalsRowShown="0" headerRowDxfId="169" dataDxfId="167" headerRowBorderDxfId="168" tableBorderDxfId="166">
  <tableColumns count="9">
    <tableColumn id="1" xr3:uid="{7E0DE35A-7F05-4BB8-B03A-44F08BACF8C8}" name="Compétence 3" dataDxfId="165"/>
    <tableColumn id="2" xr3:uid="{CAEAAB51-50E3-4866-ABC0-5F89F75F530B}" name="Personne enseignante" dataDxfId="164"/>
    <tableColumn id="3" xr3:uid="{975C057A-614C-4ACC-A6D6-F59281374615}" name="Résultats For1" dataDxfId="163">
      <calculatedColumnFormula>VLOOKUP(Tableau3[[#This Row],[Personne enseignante]],Feuil_M!$A$3:$B$8,2,FALSE)</calculatedColumnFormula>
    </tableColumn>
    <tableColumn id="4" xr3:uid="{09959ADD-2765-4CB2-8345-D34343B9DD59}" name="Responsable de l’encadrement" dataDxfId="162"/>
    <tableColumn id="5" xr3:uid="{F7E4DE3A-9212-49A8-89BC-544AB2745D98}" name="Résultats For2" dataDxfId="161">
      <calculatedColumnFormula>VLOOKUP(Tableau3[[#This Row],[Responsable de l’encadrement]],Feuil_M!$A$3:$B$8,2,FALSE)</calculatedColumnFormula>
    </tableColumn>
    <tableColumn id="6" xr3:uid="{305DCD19-0A7B-4E6F-A643-08C49F224684}" name="Personne enseignante2" dataDxfId="160"/>
    <tableColumn id="7" xr3:uid="{658AA3C8-BA10-4090-A811-8EE5242B4E33}" name="Résultats Som1" dataDxfId="159">
      <calculatedColumnFormula>VLOOKUP(Tableau3[[#This Row],[Personne enseignante2]],Feuil_M!$A$3:$B$8,2,FALSE)</calculatedColumnFormula>
    </tableColumn>
    <tableColumn id="8" xr3:uid="{A1FB0CF2-9042-4661-8B80-A6AEA683E7B7}" name="Responsable de l’encadrement2" dataDxfId="158"/>
    <tableColumn id="9" xr3:uid="{C91D754D-B0EB-4E71-B6AD-776F840105C0}" name="Résultats Som2" dataDxfId="157">
      <calculatedColumnFormula>VLOOKUP(Tableau3[[#This Row],[Responsable de l’encadrement2]],Feuil_M!$A$3:$B$8,2,FALSE)</calculatedColumnFormula>
    </tableColumn>
  </tableColumns>
  <tableStyleInfo name="ConstructionBidSheet_table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BEFD2EB-A9ED-42E6-84E7-9AF7B5ECCFFD}" name="Tableau4" displayName="Tableau4" ref="A28:I34" totalsRowShown="0" headerRowDxfId="156" dataDxfId="154" headerRowBorderDxfId="155" tableBorderDxfId="153">
  <tableColumns count="9">
    <tableColumn id="1" xr3:uid="{D2DF1579-B5B2-492E-A56F-D942D9B339C6}" name="Compétence 4" dataDxfId="152"/>
    <tableColumn id="2" xr3:uid="{B1244C5D-2BB7-42A6-AA64-CFE3C9A49028}" name="Personne enseignante" dataDxfId="151"/>
    <tableColumn id="3" xr3:uid="{4BD806F6-5B7A-4744-AEAA-04C08D3C2AED}" name="Résultats For1" dataDxfId="150">
      <calculatedColumnFormula>VLOOKUP(Tableau4[[#This Row],[Personne enseignante]],Feuil_M!$A$3:$B$8,2,FALSE)</calculatedColumnFormula>
    </tableColumn>
    <tableColumn id="4" xr3:uid="{C363A56C-AE92-42E3-99ED-2B1328B6A1FA}" name="Responsable de l’encadrement" dataDxfId="149"/>
    <tableColumn id="5" xr3:uid="{175ED9BE-C218-4C89-B11A-DF7BA76A7599}" name="Résultats For2" dataDxfId="148">
      <calculatedColumnFormula>VLOOKUP(Tableau4[[#This Row],[Responsable de l’encadrement]],Feuil_M!$A$3:$B$8,2,FALSE)</calculatedColumnFormula>
    </tableColumn>
    <tableColumn id="6" xr3:uid="{462B4EB8-50A7-459E-8B2A-18A2FF4E5479}" name="Personne enseignante2" dataDxfId="147"/>
    <tableColumn id="7" xr3:uid="{B4C610BD-5109-4A6F-891F-C47138DF636C}" name="Résultats Som1" dataDxfId="146">
      <calculatedColumnFormula>VLOOKUP(Tableau4[[#This Row],[Personne enseignante2]],Feuil_M!$A$3:$B$8,2,FALSE)</calculatedColumnFormula>
    </tableColumn>
    <tableColumn id="8" xr3:uid="{544CBFF7-B946-4368-B506-14A140F75EFC}" name="Responsable de l’encadrement2" dataDxfId="145"/>
    <tableColumn id="9" xr3:uid="{B95D9698-0F54-4065-804B-FEDD88073635}" name="Résultats Som2" dataDxfId="144">
      <calculatedColumnFormula>VLOOKUP(Tableau4[[#This Row],[Responsable de l’encadrement2]],Feuil_M!$A$3:$B$8,2,FALSE)</calculatedColumnFormula>
    </tableColumn>
  </tableColumns>
  <tableStyleInfo name="ConstructionBidSheet_table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39F5C9D-E1A9-4388-9604-5088D0A8A2B2}" name="Tableau5" displayName="Tableau5" ref="A28:I37" totalsRowShown="0" headerRowDxfId="143" headerRowBorderDxfId="142" tableBorderDxfId="141">
  <tableColumns count="9">
    <tableColumn id="1" xr3:uid="{118FBC8B-0960-4689-9747-359E1F06EC56}" name="Compétence 5" dataDxfId="140"/>
    <tableColumn id="2" xr3:uid="{7BAB4286-8906-4686-940C-8335FFC7322B}" name="Personne enseignante" dataDxfId="139"/>
    <tableColumn id="3" xr3:uid="{4CC9D438-87C3-4889-AA93-4F3AD2ED205C}" name="Résultats For1" dataDxfId="138">
      <calculatedColumnFormula>VLOOKUP(Tableau5[[#This Row],[Personne enseignante]],Feuil_M!$A$3:$B$8,2,FALSE)</calculatedColumnFormula>
    </tableColumn>
    <tableColumn id="4" xr3:uid="{B669B02F-B903-4E42-92AE-EF151698ACCE}" name="Responsable de l’encadrement" dataDxfId="137"/>
    <tableColumn id="5" xr3:uid="{EDF59D79-2B5F-4943-BE0A-EFDBD57928D1}" name="Résultats For2" dataDxfId="136">
      <calculatedColumnFormula>VLOOKUP(Tableau5[[#This Row],[Responsable de l’encadrement]],Feuil_M!$A$3:$B$8,2,FALSE)</calculatedColumnFormula>
    </tableColumn>
    <tableColumn id="6" xr3:uid="{BBFCDEC2-A649-4AAA-BA51-41E7AB97AC4A}" name="Personne enseignante2" dataDxfId="135"/>
    <tableColumn id="7" xr3:uid="{181190CC-E9C5-4533-B1EC-C400CC19451C}" name="Résultats Som1" dataDxfId="134">
      <calculatedColumnFormula>VLOOKUP(Tableau5[[#This Row],[Personne enseignante2]],Feuil_M!$A$3:$B$8,2,FALSE)</calculatedColumnFormula>
    </tableColumn>
    <tableColumn id="8" xr3:uid="{6DB34565-A1C6-4506-A624-3F3F670FE71D}" name="Responsable de l’encadrement2" dataDxfId="133"/>
    <tableColumn id="9" xr3:uid="{BA348B93-6CE9-46B6-BE4F-A38BD6F2D9FF}" name="Résultats Som2" dataDxfId="132">
      <calculatedColumnFormula>VLOOKUP(Tableau5[[#This Row],[Responsable de l’encadrement2]],Feuil_M!$A$3:$B$8,2,FALSE)</calculatedColumnFormula>
    </tableColumn>
  </tableColumns>
  <tableStyleInfo name="ConstructionBidSheet_table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3F96A4F-566C-4647-B7B9-16EC664336B9}" name="Tableau6" displayName="Tableau6" ref="A28:I37" totalsRowShown="0" headerRowDxfId="131" dataDxfId="130" tableBorderDxfId="129">
  <tableColumns count="9">
    <tableColumn id="1" xr3:uid="{5E60354B-32A6-47C6-AE66-62F9DDC5CEB0}" name="Compétence 6" dataDxfId="128"/>
    <tableColumn id="2" xr3:uid="{304C3DF2-7E62-4273-B587-51D0220AA6BF}" name="Personne enseignante" dataDxfId="127"/>
    <tableColumn id="3" xr3:uid="{4399D900-B1AE-4685-8697-6C5851111E74}" name="Résultats For1" dataDxfId="126">
      <calculatedColumnFormula>VLOOKUP(Tableau6[[#This Row],[Personne enseignante]],Feuil_M!$A$3:$B$8,2,FALSE)</calculatedColumnFormula>
    </tableColumn>
    <tableColumn id="4" xr3:uid="{CBE849CA-254C-43E7-A0B8-7FA370933CD4}" name="Responsable de l’encadrement" dataDxfId="125"/>
    <tableColumn id="5" xr3:uid="{8CC78D3F-C3CF-449E-B38F-8FA7A45F4B75}" name="Résultats For2" dataDxfId="124">
      <calculatedColumnFormula>VLOOKUP(Tableau6[[#This Row],[Responsable de l’encadrement]],Feuil_M!$A$3:$B$8,2,FALSE)</calculatedColumnFormula>
    </tableColumn>
    <tableColumn id="6" xr3:uid="{B6564566-04A8-48F9-B1D2-23F19885EC50}" name="Personne enseignante2" dataDxfId="123"/>
    <tableColumn id="7" xr3:uid="{24023297-633A-4208-9F85-DB8B6E844861}" name="Résultats Som1" dataDxfId="122">
      <calculatedColumnFormula>VLOOKUP(Tableau6[[#This Row],[Personne enseignante2]],Feuil_M!$A$3:$B$8,2,FALSE)</calculatedColumnFormula>
    </tableColumn>
    <tableColumn id="8" xr3:uid="{96CF1E90-85FB-4AA6-BECC-FAA3EB911AA3}" name="Responsable de l’encadrement2" dataDxfId="121"/>
    <tableColumn id="9" xr3:uid="{A5F6C21B-6191-4327-8C06-F52EFCCFCFFC}" name="Résultats Som2" dataDxfId="120">
      <calculatedColumnFormula>VLOOKUP(Tableau6[[#This Row],[Responsable de l’encadrement2]],Feuil_M!$A$3:$B$8,2,FALSE)</calculatedColumnFormula>
    </tableColumn>
  </tableColumns>
  <tableStyleInfo name="ConstructionBidSheet_table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984CC3C-EA44-4D8F-BA64-175AA50EEC82}" name="Tableau7" displayName="Tableau7" ref="A28:I36" totalsRowShown="0" headerRowDxfId="119" tableBorderDxfId="118">
  <tableColumns count="9">
    <tableColumn id="1" xr3:uid="{DB94A944-253E-473A-B45E-CACFF0F4D8CC}" name="Compétence 7" dataDxfId="117"/>
    <tableColumn id="2" xr3:uid="{2779CDF6-2256-4E87-A917-726608864256}" name="Personne enseignante" dataDxfId="116"/>
    <tableColumn id="3" xr3:uid="{ACC37CEF-93AA-4683-A7D8-CA53350F5D55}" name="Résultats For1" dataDxfId="115">
      <calculatedColumnFormula>VLOOKUP(Tableau7[[#This Row],[Personne enseignante]],Feuil_M!$A$3:$B$8,2,FALSE)</calculatedColumnFormula>
    </tableColumn>
    <tableColumn id="4" xr3:uid="{ADD738F3-AE93-4DBF-9D43-3349E459907A}" name="Responsable de l’encadrement" dataDxfId="114"/>
    <tableColumn id="5" xr3:uid="{D70438B1-9267-4F70-B2A1-0481A2139E39}" name="Résultats For2" dataDxfId="113">
      <calculatedColumnFormula>VLOOKUP(Tableau7[[#This Row],[Responsable de l’encadrement]],Feuil_M!$A$3:$B$8,2,FALSE)</calculatedColumnFormula>
    </tableColumn>
    <tableColumn id="6" xr3:uid="{105060FC-C337-4255-B067-788C6ADD773F}" name="Personne enseignante2" dataDxfId="112"/>
    <tableColumn id="7" xr3:uid="{093089F1-FE5C-4D65-BF1D-EBBADA9D2404}" name="Résultats Som1" dataDxfId="111">
      <calculatedColumnFormula>VLOOKUP(Tableau7[[#This Row],[Personne enseignante2]],Feuil_M!$A$3:$B$8,2,FALSE)</calculatedColumnFormula>
    </tableColumn>
    <tableColumn id="8" xr3:uid="{31CAC3BD-41A1-4A18-BC71-7D7473BDF868}" name="Responsable de l’encadrement2" dataDxfId="110"/>
    <tableColumn id="9" xr3:uid="{AC41D86C-213A-468D-872B-0A4C6794944C}" name="Résultats Som2" dataDxfId="109">
      <calculatedColumnFormula>VLOOKUP(Tableau7[[#This Row],[Responsable de l’encadrement2]],Feuil_M!$A$3:$B$8,2,FALSE)</calculatedColumnFormula>
    </tableColumn>
  </tableColumns>
  <tableStyleInfo name="ConstructionBidSheet_table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E58EDB8-E7F3-4AE3-9ED9-F94AF0CB6CD9}" name="Tableau8" displayName="Tableau8" ref="A28:I37" totalsRowShown="0" headerRowDxfId="108" dataDxfId="107" tableBorderDxfId="106">
  <tableColumns count="9">
    <tableColumn id="1" xr3:uid="{24C8B9A0-A30C-4DD4-B6C2-9219B8ABD2C1}" name="Compétence 8" dataDxfId="105"/>
    <tableColumn id="2" xr3:uid="{2AD7C07D-45E3-4B35-8133-EBECDDAA5F0F}" name="Personne enseignante" dataDxfId="104"/>
    <tableColumn id="3" xr3:uid="{71247F02-7240-4DDF-8111-F6561FCE3A5A}" name="Résultats For1" dataDxfId="103">
      <calculatedColumnFormula>VLOOKUP(Tableau8[[#This Row],[Personne enseignante]],Feuil_M!$A$3:$B$8,2,FALSE)</calculatedColumnFormula>
    </tableColumn>
    <tableColumn id="4" xr3:uid="{BF39A33A-6890-4C58-9DA4-8CC70A865E6E}" name="Responsable de l’encadrement" dataDxfId="102"/>
    <tableColumn id="5" xr3:uid="{12F5A68E-14FD-4F83-A38D-30CFFD6E0F58}" name="Résultats For2" dataDxfId="101">
      <calculatedColumnFormula>VLOOKUP(Tableau8[[#This Row],[Responsable de l’encadrement]],Feuil_M!$A$3:$B$8,2,FALSE)</calculatedColumnFormula>
    </tableColumn>
    <tableColumn id="6" xr3:uid="{B4BF5759-5D81-4491-8EFA-7753E2191A61}" name="Personne enseignante2" dataDxfId="100"/>
    <tableColumn id="7" xr3:uid="{93586A3D-854E-4BE7-8581-E9C86010E281}" name="Résultats Som1" dataDxfId="99">
      <calculatedColumnFormula>VLOOKUP(Tableau8[[#This Row],[Personne enseignante2]],Feuil_M!$A$3:$B$8,2,FALSE)</calculatedColumnFormula>
    </tableColumn>
    <tableColumn id="8" xr3:uid="{AB25A12F-17E6-41F3-91F3-F123C514E8EF}" name="Responsable de l’encadrement2" dataDxfId="98"/>
    <tableColumn id="9" xr3:uid="{717D8CE5-6052-44FE-8277-3F085F92FCAE}" name="Résultats Som2" dataDxfId="97">
      <calculatedColumnFormula>VLOOKUP(Tableau8[[#This Row],[Responsable de l’encadrement2]],Feuil_M!$A$3:$B$8,2,FALSE)</calculatedColumnFormula>
    </tableColumn>
  </tableColumns>
  <tableStyleInfo name="ConstructionBidSheet_table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0C129C2-BEB3-4BBE-97D8-6684A5EA9DF6}" name="Tableau9" displayName="Tableau9" ref="A28:I36" totalsRowShown="0" headerRowDxfId="96" dataDxfId="95" tableBorderDxfId="94">
  <tableColumns count="9">
    <tableColumn id="1" xr3:uid="{E48E01F9-6272-488D-AC6E-8A1B495F2563}" name="Compétence 9" dataDxfId="93"/>
    <tableColumn id="2" xr3:uid="{89E77B6B-C601-4EAA-927C-71552B89C1FE}" name="Personne enseignante" dataDxfId="92"/>
    <tableColumn id="3" xr3:uid="{1A329E0E-BCA9-4E79-AF63-C7BEFC872428}" name="Résultats For1" dataDxfId="91">
      <calculatedColumnFormula>VLOOKUP(Tableau9[[#This Row],[Personne enseignante]],Feuil_M!$A$3:$B$8,2,FALSE)</calculatedColumnFormula>
    </tableColumn>
    <tableColumn id="4" xr3:uid="{9585113A-1596-4403-BF0C-FB1152475508}" name="Responsable de l’encadrement" dataDxfId="90"/>
    <tableColumn id="5" xr3:uid="{32DC87F9-356A-421B-A3DD-200075A88556}" name="Résultats For2" dataDxfId="89">
      <calculatedColumnFormula>VLOOKUP(Tableau9[[#This Row],[Responsable de l’encadrement]],Feuil_M!$A$3:$B$8,2,FALSE)</calculatedColumnFormula>
    </tableColumn>
    <tableColumn id="6" xr3:uid="{A086C4DF-AD5C-4D5A-94FC-1E4381637937}" name="Personne enseignante2" dataDxfId="88"/>
    <tableColumn id="7" xr3:uid="{0D53C738-F224-4EF6-B92B-493E5526A222}" name="Résultats Som1" dataDxfId="87">
      <calculatedColumnFormula>VLOOKUP(Tableau9[[#This Row],[Personne enseignante2]],Feuil_M!$A$3:$B$8,2,FALSE)</calculatedColumnFormula>
    </tableColumn>
    <tableColumn id="8" xr3:uid="{01195253-A6C0-4430-82E3-ACDDDDF788C4}" name="Responsable de l’encadrement2" dataDxfId="86"/>
    <tableColumn id="9" xr3:uid="{BF46EDC5-BAAD-43EE-B89A-1A0BBA08EBE7}" name="Résultats Som2" dataDxfId="85">
      <calculatedColumnFormula>VLOOKUP(Tableau9[[#This Row],[Responsable de l’encadrement2]],Feuil_M!$A$3:$B$8,2,FALSE)</calculatedColumnFormula>
    </tableColumn>
  </tableColumns>
  <tableStyleInfo name="ConstructionBidSheet_table1"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ecatur">
  <a:themeElements>
    <a:clrScheme name="ConstructionBidSheet_colors">
      <a:dk1>
        <a:srgbClr val="000000"/>
      </a:dk1>
      <a:lt1>
        <a:srgbClr val="FFFFFF"/>
      </a:lt1>
      <a:dk2>
        <a:srgbClr val="000000"/>
      </a:dk2>
      <a:lt2>
        <a:srgbClr val="FFFFFF"/>
      </a:lt2>
      <a:accent1>
        <a:srgbClr val="E8B31C"/>
      </a:accent1>
      <a:accent2>
        <a:srgbClr val="499000"/>
      </a:accent2>
      <a:accent3>
        <a:srgbClr val="D94717"/>
      </a:accent3>
      <a:accent4>
        <a:srgbClr val="2374B8"/>
      </a:accent4>
      <a:accent5>
        <a:srgbClr val="E77712"/>
      </a:accent5>
      <a:accent6>
        <a:srgbClr val="7947A9"/>
      </a:accent6>
      <a:hlink>
        <a:srgbClr val="2374B8"/>
      </a:hlink>
      <a:folHlink>
        <a:srgbClr val="7947A9"/>
      </a:folHlink>
    </a:clrScheme>
    <a:fontScheme name="ConstructionBidSheet_fonts">
      <a:majorFont>
        <a:latin typeface="Impact"/>
        <a:ea typeface=""/>
        <a:cs typeface=""/>
      </a:majorFont>
      <a:minorFont>
        <a:latin typeface="Arial"/>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spDef>
      <a:spPr>
        <a:noFill/>
        <a:ln w="28575">
          <a:solidFill>
            <a:schemeClr val="accent1"/>
          </a:solidFill>
        </a:ln>
        <a:effectLst/>
      </a:spPr>
      <a:bodyPr vertOverflow="clip" horzOverflow="clip" rtlCol="0" anchor="ctr"/>
      <a:lstStyle>
        <a:defPPr algn="l">
          <a:defRPr sz="1000" b="1"/>
        </a:defPPr>
      </a:lstStyle>
      <a:style>
        <a:lnRef idx="1">
          <a:schemeClr val="accent2"/>
        </a:lnRef>
        <a:fillRef idx="2">
          <a:schemeClr val="accent2"/>
        </a:fillRef>
        <a:effectRef idx="1">
          <a:schemeClr val="accent2"/>
        </a:effectRef>
        <a:fontRef idx="minor">
          <a:schemeClr val="dk1"/>
        </a:fontRef>
      </a:style>
    </a:spDef>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C164EC3B-6756-4136-A7D2-03C07D523556}">
  <we:reference id="wa104381504" version="1.0.0.0" store="fr-FR" storeType="OMEX"/>
  <we:alternateReferences>
    <we:reference id="wa104381504" version="1.0.0.0" store="WA104381504" storeType="OMEX"/>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omments" Target="../comments9.xml"/><Relationship Id="rId4"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omments" Target="../comments10.xml"/><Relationship Id="rId4"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comments" Target="../comments11.xml"/><Relationship Id="rId4"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5" Type="http://schemas.openxmlformats.org/officeDocument/2006/relationships/comments" Target="../comments12.xml"/><Relationship Id="rId4"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5" Type="http://schemas.openxmlformats.org/officeDocument/2006/relationships/comments" Target="../comments13.xml"/><Relationship Id="rId4"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vmlDrawing" Target="../drawings/vmlDrawing15.vml"/><Relationship Id="rId7" Type="http://schemas.openxmlformats.org/officeDocument/2006/relationships/ctrlProp" Target="../ctrlProps/ctrlProp11.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8.xml.rels><?xml version="1.0" encoding="UTF-8" standalone="yes"?>
<Relationships xmlns="http://schemas.openxmlformats.org/package/2006/relationships"><Relationship Id="rId8" Type="http://schemas.openxmlformats.org/officeDocument/2006/relationships/table" Target="../tables/table19.xml"/><Relationship Id="rId3" Type="http://schemas.openxmlformats.org/officeDocument/2006/relationships/table" Target="../tables/table14.xml"/><Relationship Id="rId7"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table" Target="../tables/table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omments" Target="../comments6.xm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omments" Target="../comments7.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omments" Target="../comments8.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O90"/>
  <sheetViews>
    <sheetView showGridLines="0" showRowColHeaders="0" tabSelected="1" showRuler="0" zoomScale="75" zoomScaleNormal="75" zoomScalePageLayoutView="70" workbookViewId="0">
      <selection activeCell="F35" sqref="F35"/>
    </sheetView>
  </sheetViews>
  <sheetFormatPr baseColWidth="10" defaultColWidth="9" defaultRowHeight="30" customHeight="1" x14ac:dyDescent="0.25"/>
  <cols>
    <col min="1" max="1" width="6.69921875" customWidth="1"/>
    <col min="2" max="2" width="28.19921875" customWidth="1"/>
    <col min="3" max="3" width="37.69921875" customWidth="1"/>
    <col min="4" max="4" width="36" customWidth="1"/>
    <col min="5" max="8" width="10.69921875" customWidth="1"/>
    <col min="9" max="9" width="29.69921875" customWidth="1"/>
    <col min="10" max="10" width="34.19921875" customWidth="1"/>
  </cols>
  <sheetData>
    <row r="1" spans="1:10" ht="22.2" customHeight="1" x14ac:dyDescent="0.25">
      <c r="B1" s="9"/>
      <c r="C1" s="324"/>
      <c r="D1" s="325"/>
      <c r="E1" s="325"/>
      <c r="F1" s="102"/>
      <c r="G1" s="102"/>
      <c r="H1" s="102"/>
    </row>
    <row r="2" spans="1:10" ht="21.45" customHeight="1" x14ac:dyDescent="0.25">
      <c r="B2" s="9"/>
      <c r="C2" s="10"/>
      <c r="D2" s="11"/>
    </row>
    <row r="3" spans="1:10" ht="27" customHeight="1" x14ac:dyDescent="0.25">
      <c r="B3" s="9"/>
      <c r="C3" s="330" t="s">
        <v>0</v>
      </c>
      <c r="D3" s="331"/>
      <c r="E3" s="331"/>
      <c r="F3" s="331"/>
      <c r="G3" s="331"/>
      <c r="H3" s="331"/>
      <c r="I3" s="331"/>
      <c r="J3" s="331"/>
    </row>
    <row r="4" spans="1:10" ht="34.5" customHeight="1" x14ac:dyDescent="0.4">
      <c r="B4" s="327" t="s">
        <v>1</v>
      </c>
      <c r="C4" s="328"/>
      <c r="D4" s="329" t="s">
        <v>189</v>
      </c>
      <c r="E4" s="329"/>
      <c r="F4" s="329"/>
      <c r="G4" s="329"/>
      <c r="H4" s="329"/>
      <c r="I4" s="329"/>
    </row>
    <row r="5" spans="1:10" ht="34.200000000000003" customHeight="1" x14ac:dyDescent="0.25">
      <c r="B5" s="89" t="s">
        <v>51</v>
      </c>
      <c r="C5" s="292"/>
      <c r="D5" s="89"/>
      <c r="E5" s="309"/>
      <c r="F5" s="309"/>
      <c r="G5" s="309"/>
      <c r="H5" s="309"/>
    </row>
    <row r="6" spans="1:10" ht="34.200000000000003" customHeight="1" x14ac:dyDescent="0.25">
      <c r="B6" s="89" t="s">
        <v>190</v>
      </c>
      <c r="C6" s="292" t="s">
        <v>2</v>
      </c>
      <c r="D6" s="192" t="s">
        <v>3</v>
      </c>
      <c r="E6" s="310"/>
      <c r="F6" s="310"/>
      <c r="G6" s="310"/>
      <c r="H6" s="310"/>
    </row>
    <row r="7" spans="1:10" ht="30" customHeight="1" x14ac:dyDescent="0.25">
      <c r="B7" s="89" t="s">
        <v>4</v>
      </c>
      <c r="C7" s="293" t="s">
        <v>254</v>
      </c>
      <c r="D7" s="193" t="s">
        <v>191</v>
      </c>
      <c r="E7" s="309" t="s">
        <v>192</v>
      </c>
      <c r="F7" s="309"/>
      <c r="G7" s="309"/>
      <c r="H7" s="309"/>
    </row>
    <row r="8" spans="1:10" ht="30" customHeight="1" x14ac:dyDescent="0.25">
      <c r="B8" s="274"/>
      <c r="C8" s="294"/>
      <c r="D8" s="274"/>
    </row>
    <row r="9" spans="1:10" ht="47.7" customHeight="1" x14ac:dyDescent="0.4">
      <c r="B9" s="176" t="s">
        <v>253</v>
      </c>
      <c r="C9" s="171"/>
      <c r="D9" s="171"/>
      <c r="E9" s="171"/>
      <c r="F9" s="171"/>
      <c r="G9" s="171"/>
      <c r="H9" s="171"/>
    </row>
    <row r="10" spans="1:10" ht="261.60000000000002" customHeight="1" x14ac:dyDescent="0.25">
      <c r="B10" s="332" t="s">
        <v>199</v>
      </c>
      <c r="C10" s="332"/>
      <c r="D10" s="332"/>
      <c r="E10" s="332"/>
      <c r="F10" s="332"/>
      <c r="G10" s="332"/>
      <c r="H10" s="332"/>
    </row>
    <row r="11" spans="1:10" ht="12.45" customHeight="1" x14ac:dyDescent="0.25">
      <c r="B11" s="326" t="s">
        <v>5</v>
      </c>
      <c r="C11" s="326"/>
      <c r="D11" s="326"/>
      <c r="E11" s="326"/>
      <c r="F11" s="191"/>
      <c r="G11" s="191"/>
      <c r="H11" s="191"/>
    </row>
    <row r="12" spans="1:10" ht="30.45" customHeight="1" x14ac:dyDescent="0.5">
      <c r="A12" s="172"/>
      <c r="B12" s="175" t="s">
        <v>193</v>
      </c>
      <c r="C12" s="171"/>
      <c r="D12" s="171"/>
      <c r="E12" s="172"/>
      <c r="F12" s="172"/>
      <c r="G12" s="172"/>
      <c r="H12" s="172"/>
    </row>
    <row r="13" spans="1:10" ht="45" customHeight="1" thickBot="1" x14ac:dyDescent="0.3"/>
    <row r="14" spans="1:10" ht="50.7" customHeight="1" x14ac:dyDescent="0.3">
      <c r="B14" s="39" t="s">
        <v>6</v>
      </c>
      <c r="C14" s="39" t="s">
        <v>47</v>
      </c>
      <c r="D14" s="39" t="s">
        <v>7</v>
      </c>
      <c r="E14" s="315" t="s">
        <v>8</v>
      </c>
      <c r="F14" s="316"/>
      <c r="G14" s="316"/>
      <c r="H14" s="316"/>
      <c r="I14" s="39" t="s">
        <v>9</v>
      </c>
      <c r="J14" s="39" t="s">
        <v>10</v>
      </c>
    </row>
    <row r="15" spans="1:10" ht="40.950000000000003" customHeight="1" thickBot="1" x14ac:dyDescent="0.3">
      <c r="B15" s="47" t="s">
        <v>195</v>
      </c>
      <c r="C15" s="47" t="s">
        <v>11</v>
      </c>
      <c r="D15" s="47" t="s">
        <v>12</v>
      </c>
      <c r="E15" s="317" t="s">
        <v>13</v>
      </c>
      <c r="F15" s="318"/>
      <c r="G15" s="318"/>
      <c r="H15" s="318"/>
      <c r="I15" s="47" t="s">
        <v>14</v>
      </c>
      <c r="J15" s="47" t="s">
        <v>15</v>
      </c>
    </row>
    <row r="16" spans="1:10" ht="49.2" customHeight="1" thickBot="1" x14ac:dyDescent="0.3">
      <c r="B16" s="83" t="s">
        <v>16</v>
      </c>
      <c r="C16" s="48" t="s">
        <v>200</v>
      </c>
      <c r="D16" s="84" t="s">
        <v>201</v>
      </c>
      <c r="E16" s="319" t="s">
        <v>17</v>
      </c>
      <c r="F16" s="320"/>
      <c r="G16" s="320"/>
      <c r="H16" s="320"/>
      <c r="I16" s="46" t="s">
        <v>18</v>
      </c>
      <c r="J16" s="46" t="s">
        <v>19</v>
      </c>
    </row>
    <row r="17" spans="2:15" ht="46.95" customHeight="1" thickBot="1" x14ac:dyDescent="0.3">
      <c r="B17" s="86" t="s">
        <v>20</v>
      </c>
      <c r="C17" s="85" t="s">
        <v>21</v>
      </c>
      <c r="D17" s="85" t="s">
        <v>187</v>
      </c>
      <c r="E17" s="319" t="s">
        <v>188</v>
      </c>
      <c r="F17" s="320"/>
      <c r="G17" s="320"/>
      <c r="H17" s="320"/>
      <c r="I17" s="85" t="s">
        <v>194</v>
      </c>
      <c r="J17" s="85" t="s">
        <v>22</v>
      </c>
    </row>
    <row r="18" spans="2:15" ht="22.2" customHeight="1" x14ac:dyDescent="0.4">
      <c r="B18" s="23"/>
    </row>
    <row r="19" spans="2:15" ht="19.95" customHeight="1" x14ac:dyDescent="0.25">
      <c r="B19" s="314" t="s">
        <v>255</v>
      </c>
      <c r="C19" s="314"/>
      <c r="D19" s="314"/>
      <c r="E19" s="314"/>
      <c r="F19" s="314"/>
      <c r="G19" s="314"/>
      <c r="H19" s="314"/>
      <c r="I19" s="314"/>
      <c r="J19" s="314"/>
    </row>
    <row r="20" spans="2:15" ht="21" customHeight="1" x14ac:dyDescent="0.4">
      <c r="B20" s="23"/>
    </row>
    <row r="21" spans="2:15" ht="16.95" customHeight="1" x14ac:dyDescent="0.4">
      <c r="B21" s="175" t="s">
        <v>23</v>
      </c>
      <c r="E21" s="311" t="s">
        <v>24</v>
      </c>
      <c r="F21" s="312"/>
      <c r="G21" s="312"/>
      <c r="H21" s="313"/>
      <c r="I21" s="190"/>
      <c r="J21" s="190"/>
      <c r="K21" s="190"/>
      <c r="L21" s="190"/>
      <c r="M21" s="190"/>
      <c r="N21" s="190"/>
      <c r="O21" s="190"/>
    </row>
    <row r="22" spans="2:15" ht="15.6" customHeight="1" thickBot="1" x14ac:dyDescent="0.45">
      <c r="B22" s="175"/>
      <c r="D22" s="194" t="s">
        <v>202</v>
      </c>
      <c r="E22" s="321" t="s">
        <v>25</v>
      </c>
      <c r="F22" s="322"/>
      <c r="G22" s="321" t="s">
        <v>26</v>
      </c>
      <c r="H22" s="323"/>
      <c r="I22" s="190"/>
      <c r="J22" s="190"/>
      <c r="K22" s="190"/>
      <c r="L22" s="190"/>
      <c r="M22" s="190"/>
      <c r="N22" s="190"/>
      <c r="O22" s="190"/>
    </row>
    <row r="23" spans="2:15" ht="25.8" customHeight="1" thickBot="1" x14ac:dyDescent="0.3">
      <c r="B23" s="339" t="s">
        <v>27</v>
      </c>
      <c r="C23" s="340"/>
      <c r="D23" s="340"/>
      <c r="E23" s="210" t="s">
        <v>51</v>
      </c>
      <c r="F23" s="210" t="s">
        <v>28</v>
      </c>
      <c r="G23" s="210" t="s">
        <v>51</v>
      </c>
      <c r="H23" s="211" t="s">
        <v>28</v>
      </c>
    </row>
    <row r="24" spans="2:15" ht="19.95" customHeight="1" x14ac:dyDescent="0.25">
      <c r="B24" s="195" t="s">
        <v>29</v>
      </c>
      <c r="C24" s="196"/>
      <c r="D24" s="196"/>
      <c r="E24" s="201"/>
      <c r="F24" s="197"/>
      <c r="G24" s="197"/>
      <c r="H24" s="212"/>
    </row>
    <row r="25" spans="2:15" ht="19.95" customHeight="1" x14ac:dyDescent="0.25">
      <c r="B25" s="307" t="s">
        <v>30</v>
      </c>
      <c r="C25" s="308"/>
      <c r="D25" s="308"/>
      <c r="E25" s="213">
        <f>COUNTIF(Tableau1[Résultats For1],"&lt;&gt;-")/COUNTA(Tableau1[Compétence 1])</f>
        <v>0</v>
      </c>
      <c r="F25" s="213">
        <f>COUNTIF(Tableau1[Résultats For2],"&lt;&gt;-")/COUNTA(Tableau1[Compétence 1])</f>
        <v>0</v>
      </c>
      <c r="G25" s="213">
        <f>COUNTIF(Tableau1[Résultats Som1],"&lt;&gt;-")/COUNTA(Tableau1[Compétence 1])</f>
        <v>0</v>
      </c>
      <c r="H25" s="214">
        <f>COUNTIF(Tableau1[Résultats Som2],"&lt;&gt;-")/COUNTA(Tableau1[Compétence 1])</f>
        <v>0</v>
      </c>
      <c r="I25" s="205"/>
    </row>
    <row r="26" spans="2:15" ht="19.95" customHeight="1" x14ac:dyDescent="0.25">
      <c r="B26" s="307" t="s">
        <v>31</v>
      </c>
      <c r="C26" s="308"/>
      <c r="D26" s="308"/>
      <c r="E26" s="213">
        <f>COUNTIF(Tableau2[Résultats For1],"&lt;&gt;-")/COUNTA(Tableau2[Compétence 2])</f>
        <v>0</v>
      </c>
      <c r="F26" s="213">
        <f>COUNTIF(Tableau2[Résultats For2],"&lt;&gt;-")/COUNTA(Tableau2[Compétence 2])</f>
        <v>0</v>
      </c>
      <c r="G26" s="213">
        <f>COUNTIF(Tableau2[Résultats Som1],"&lt;&gt;-")/COUNTA(Tableau2[Compétence 2])</f>
        <v>0</v>
      </c>
      <c r="H26" s="214">
        <f>COUNTIF(Tableau2[Résultats Som2],"&lt;&gt;-")/COUNTA(Tableau2[Compétence 2])</f>
        <v>0</v>
      </c>
      <c r="I26" s="205"/>
    </row>
    <row r="27" spans="2:15" ht="19.95" customHeight="1" x14ac:dyDescent="0.25">
      <c r="B27" s="341" t="s">
        <v>203</v>
      </c>
      <c r="C27" s="342"/>
      <c r="D27" s="342"/>
      <c r="E27" s="215"/>
      <c r="F27" s="215"/>
      <c r="G27" s="215"/>
      <c r="H27" s="216"/>
    </row>
    <row r="28" spans="2:15" ht="19.95" customHeight="1" x14ac:dyDescent="0.25">
      <c r="B28" s="307" t="s">
        <v>32</v>
      </c>
      <c r="C28" s="308"/>
      <c r="D28" s="308"/>
      <c r="E28" s="213">
        <f>COUNTIF(Tableau3[Résultats For1],"&lt;&gt;-")/COUNTA(Tableau3[Compétence 3])</f>
        <v>0</v>
      </c>
      <c r="F28" s="213">
        <f>COUNTIF(Tableau3[Résultats For2],"&lt;&gt;-")/COUNTA(Tableau3[Compétence 3])</f>
        <v>0</v>
      </c>
      <c r="G28" s="213">
        <f>COUNTIF(Tableau3[Résultats Som1],"&lt;&gt;-")/COUNTA(Tableau3[Compétence 3])</f>
        <v>0</v>
      </c>
      <c r="H28" s="214">
        <f>COUNTIF(Tableau3[Résultats Som2],"&lt;&gt;-")/COUNTA(Tableau3[Compétence 3])</f>
        <v>0</v>
      </c>
    </row>
    <row r="29" spans="2:15" ht="19.95" customHeight="1" x14ac:dyDescent="0.25">
      <c r="B29" s="307" t="s">
        <v>33</v>
      </c>
      <c r="C29" s="308"/>
      <c r="D29" s="308"/>
      <c r="E29" s="213">
        <f>COUNTIF(Tableau4[Résultats For1],"&lt;&gt;-")/COUNTA(Tableau4[Compétence 4])</f>
        <v>0</v>
      </c>
      <c r="F29" s="213">
        <f>COUNTIF(Tableau4[Résultats For2],"&lt;&gt;-")/COUNTA(Tableau4[Compétence 4])</f>
        <v>0</v>
      </c>
      <c r="G29" s="213">
        <f>COUNTIF(Tableau4[Résultats Som1],"&lt;&gt;-")/COUNTA(Tableau4[Compétence 4])</f>
        <v>0</v>
      </c>
      <c r="H29" s="214">
        <f>COUNTIF(Tableau4[Résultats Som2],"&lt;&gt;-")/COUNTA(Tableau4[Compétence 4])</f>
        <v>0</v>
      </c>
    </row>
    <row r="30" spans="2:15" ht="19.95" customHeight="1" x14ac:dyDescent="0.25">
      <c r="B30" s="307" t="s">
        <v>34</v>
      </c>
      <c r="C30" s="308"/>
      <c r="D30" s="308"/>
      <c r="E30" s="213">
        <f>COUNTIF(Tableau5[Résultats For1],"&lt;&gt;-")/COUNTA(Tableau5[Compétence 5])</f>
        <v>0</v>
      </c>
      <c r="F30" s="213">
        <f>COUNTIF(Tableau5[Résultats For2],"&lt;&gt;-")/COUNTA(Tableau5[Compétence 5])</f>
        <v>0</v>
      </c>
      <c r="G30" s="213">
        <f>COUNTIF(Tableau5[Résultats Som1],"&lt;&gt;-")/COUNTA(Tableau5[Compétence 5])</f>
        <v>0</v>
      </c>
      <c r="H30" s="214">
        <f>COUNTIF(Tableau5[Résultats Som2],"&lt;&gt;-")/COUNTA(Tableau5[Compétence 5])</f>
        <v>0</v>
      </c>
    </row>
    <row r="31" spans="2:15" ht="19.95" customHeight="1" x14ac:dyDescent="0.25">
      <c r="B31" s="307" t="s">
        <v>35</v>
      </c>
      <c r="C31" s="308"/>
      <c r="D31" s="308"/>
      <c r="E31" s="213">
        <f>COUNTIF(Tableau6[Résultats For1],"&lt;&gt;-")/COUNTA(Tableau6[Compétence 6])</f>
        <v>0</v>
      </c>
      <c r="F31" s="213">
        <f>COUNTIF(Tableau6[Résultats For2],"&lt;&gt;-")/COUNTA(Tableau6[Compétence 6])</f>
        <v>0</v>
      </c>
      <c r="G31" s="213">
        <f>COUNTIF(Tableau6[Résultats Som1],"&lt;&gt;-")/COUNTA(Tableau6[Compétence 6])</f>
        <v>0</v>
      </c>
      <c r="H31" s="214">
        <f>COUNTIF(Tableau6[Résultats Som2],"&lt;&gt;-")/COUNTA(Tableau6[Compétence 6])</f>
        <v>0</v>
      </c>
    </row>
    <row r="32" spans="2:15" ht="19.95" customHeight="1" x14ac:dyDescent="0.25">
      <c r="B32" s="307" t="s">
        <v>36</v>
      </c>
      <c r="C32" s="308"/>
      <c r="D32" s="308"/>
      <c r="E32" s="213">
        <f>COUNTIF(Tableau7[Résultats For1],"&lt;&gt;-")/COUNTA(Tableau7[Compétence 7])</f>
        <v>0</v>
      </c>
      <c r="F32" s="213">
        <f>COUNTIF(Tableau7[Résultats For2],"&lt;&gt;-")/COUNTA(Tableau7[Compétence 7])</f>
        <v>0</v>
      </c>
      <c r="G32" s="213">
        <f>COUNTIF(Tableau7[Résultats Som1],"&lt;&gt;-")/COUNTA(Tableau7[Compétence 7])</f>
        <v>0</v>
      </c>
      <c r="H32" s="214">
        <f>COUNTIF(Tableau7[Résultats Som2],"&lt;&gt;-")/COUNTA(Tableau7[Compétence 7])</f>
        <v>0</v>
      </c>
    </row>
    <row r="33" spans="2:8" ht="19.95" customHeight="1" x14ac:dyDescent="0.25">
      <c r="B33" s="307" t="s">
        <v>37</v>
      </c>
      <c r="C33" s="308"/>
      <c r="D33" s="308"/>
      <c r="E33" s="213">
        <f>COUNTIF(Tableau8[Résultats For1],"&lt;&gt;-")/COUNTA(Tableau8[Compétence 8])</f>
        <v>0</v>
      </c>
      <c r="F33" s="213">
        <f>COUNTIF(Tableau8[Résultats For2],"&lt;&gt;-")/COUNTA(Tableau8[Compétence 8])</f>
        <v>0</v>
      </c>
      <c r="G33" s="213">
        <f>COUNTIF(Tableau8[Résultats Som1],"&lt;&gt;-")/COUNTA(Tableau8[Compétence 8])</f>
        <v>0</v>
      </c>
      <c r="H33" s="214">
        <f>COUNTIF(Tableau8[Résultats Som2],"&lt;&gt;-")/COUNTA(Tableau8[Compétence 8])</f>
        <v>0</v>
      </c>
    </row>
    <row r="34" spans="2:8" ht="19.95" customHeight="1" x14ac:dyDescent="0.25">
      <c r="B34" s="343" t="s">
        <v>197</v>
      </c>
      <c r="C34" s="344"/>
      <c r="D34" s="344"/>
      <c r="E34" s="217"/>
      <c r="F34" s="218"/>
      <c r="G34" s="218"/>
      <c r="H34" s="219"/>
    </row>
    <row r="35" spans="2:8" ht="19.95" customHeight="1" x14ac:dyDescent="0.25">
      <c r="B35" s="307" t="s">
        <v>38</v>
      </c>
      <c r="C35" s="308"/>
      <c r="D35" s="308"/>
      <c r="E35" s="213">
        <f>COUNTIF(Tableau9[Résultats For1],"&lt;&gt;-")/COUNTA(Tableau9[Compétence 9])</f>
        <v>0</v>
      </c>
      <c r="F35" s="213">
        <f>COUNTIF(Tableau9[Résultats For2],"&lt;&gt;-")/COUNTA(Tableau9[Compétence 9])</f>
        <v>0</v>
      </c>
      <c r="G35" s="213">
        <f>COUNTIF(Tableau9[Résultats Som1],"&lt;&gt;-")/COUNTA(Tableau9[Compétence 9])</f>
        <v>0</v>
      </c>
      <c r="H35" s="214">
        <f>COUNTIF(Tableau9[Résultats Som2],"&lt;&gt;-")/COUNTA(Tableau9[Compétence 9])</f>
        <v>0</v>
      </c>
    </row>
    <row r="36" spans="2:8" ht="19.95" customHeight="1" x14ac:dyDescent="0.25">
      <c r="B36" s="307" t="s">
        <v>39</v>
      </c>
      <c r="C36" s="308"/>
      <c r="D36" s="308"/>
      <c r="E36" s="213">
        <f>COUNTIF(Tableau10[Résultats For1],"&lt;&gt;-")/COUNTA(Tableau10[Compétence 10])</f>
        <v>0</v>
      </c>
      <c r="F36" s="213">
        <f>COUNTIF(Tableau10[Résultats For2],"&lt;&gt;-")/COUNTA(Tableau10[Compétence 10])</f>
        <v>0</v>
      </c>
      <c r="G36" s="213">
        <f>COUNTIF(Tableau10[Résultats Som1],"&lt;&gt;-")/COUNTA(Tableau10[Compétence 10])</f>
        <v>0</v>
      </c>
      <c r="H36" s="214">
        <f>COUNTIF(Tableau10[Résultats Som2],"&lt;&gt;-")/COUNTA(Tableau10[Compétence 10])</f>
        <v>0</v>
      </c>
    </row>
    <row r="37" spans="2:8" ht="19.95" customHeight="1" x14ac:dyDescent="0.25">
      <c r="B37" s="345" t="s">
        <v>204</v>
      </c>
      <c r="C37" s="346"/>
      <c r="D37" s="347"/>
      <c r="E37" s="220"/>
      <c r="F37" s="221"/>
      <c r="G37" s="221"/>
      <c r="H37" s="222"/>
    </row>
    <row r="38" spans="2:8" ht="19.95" customHeight="1" x14ac:dyDescent="0.25">
      <c r="B38" s="307" t="s">
        <v>40</v>
      </c>
      <c r="C38" s="308"/>
      <c r="D38" s="308"/>
      <c r="E38" s="213">
        <f>COUNTIF(Tableau11[Résultats For1],"&lt;&gt;-")/COUNTA(Tableau11[Compétence 11])</f>
        <v>0</v>
      </c>
      <c r="F38" s="213">
        <f>COUNTIF(Tableau11[Résultats For2],"&lt;&gt;-")/COUNTA(Tableau11[Compétence 11])</f>
        <v>0</v>
      </c>
      <c r="G38" s="213">
        <f>COUNTIF(Tableau11[Résultats Som1],"&lt;&gt;-")/COUNTA(Tableau11[Compétence 11])</f>
        <v>0</v>
      </c>
      <c r="H38" s="214">
        <f>COUNTIF(Tableau11[Résultats Som2],"&lt;&gt;-")/COUNTA(Tableau11[Compétence 11])</f>
        <v>0</v>
      </c>
    </row>
    <row r="39" spans="2:8" ht="19.95" customHeight="1" x14ac:dyDescent="0.25">
      <c r="B39" s="348" t="s">
        <v>41</v>
      </c>
      <c r="C39" s="349"/>
      <c r="D39" s="349"/>
      <c r="E39" s="223"/>
      <c r="F39" s="224"/>
      <c r="G39" s="224"/>
      <c r="H39" s="225"/>
    </row>
    <row r="40" spans="2:8" ht="19.95" customHeight="1" x14ac:dyDescent="0.25">
      <c r="B40" s="307" t="s">
        <v>42</v>
      </c>
      <c r="C40" s="308"/>
      <c r="D40" s="308"/>
      <c r="E40" s="213">
        <f>COUNTIF(Tableau12[Résultats For1],"&lt;&gt;-")/COUNTA(Tableau12[Compétence 12])</f>
        <v>0</v>
      </c>
      <c r="F40" s="213">
        <f>COUNTIF(Tableau12[Résultats For2],"&lt;&gt;-")/COUNTA(Tableau12[Compétence 12])</f>
        <v>0</v>
      </c>
      <c r="G40" s="213">
        <f>COUNTIF(Tableau12[Résultats Som1],"&lt;&gt;-")/COUNTA(Tableau12[Compétence 12])</f>
        <v>0</v>
      </c>
      <c r="H40" s="214">
        <f>COUNTIF(Tableau12[Résultats Som2],"&lt;&gt;-")/COUNTA(Tableau12[Compétence 12])</f>
        <v>0</v>
      </c>
    </row>
    <row r="41" spans="2:8" ht="19.95" customHeight="1" thickBot="1" x14ac:dyDescent="0.3">
      <c r="B41" s="307" t="s">
        <v>43</v>
      </c>
      <c r="C41" s="308"/>
      <c r="D41" s="308"/>
      <c r="E41" s="213">
        <f>COUNTIF(Tableau13[Résultats For1],"&lt;&gt;-")/COUNTA(Tableau13[Compétence 13])</f>
        <v>0</v>
      </c>
      <c r="F41" s="213">
        <f>COUNTIF(Tableau13[Résultats For2],"&lt;&gt;-")/COUNTA(Tableau13[Compétence 13])</f>
        <v>0</v>
      </c>
      <c r="G41" s="213">
        <f>COUNTIF(Tableau13[Résultats Som1],"&lt;&gt;-")/COUNTA(Tableau13[Compétence 13])</f>
        <v>0</v>
      </c>
      <c r="H41" s="214">
        <f>COUNTIF(Tableau13[Résultats Som2],"&lt;&gt;-")/COUNTA(Tableau13[Compétence 13])</f>
        <v>0</v>
      </c>
    </row>
    <row r="42" spans="2:8" ht="19.95" customHeight="1" x14ac:dyDescent="0.25">
      <c r="B42" s="333" t="s">
        <v>44</v>
      </c>
      <c r="C42" s="334"/>
      <c r="D42" s="334"/>
      <c r="E42" s="198"/>
      <c r="F42" s="199"/>
      <c r="G42" s="199"/>
      <c r="H42" s="208"/>
    </row>
    <row r="43" spans="2:8" ht="19.95" customHeight="1" x14ac:dyDescent="0.25">
      <c r="B43" s="335" t="s">
        <v>45</v>
      </c>
      <c r="C43" s="336"/>
      <c r="D43" s="336"/>
      <c r="E43" s="200"/>
      <c r="H43" s="29"/>
    </row>
    <row r="44" spans="2:8" ht="19.95" customHeight="1" x14ac:dyDescent="0.25">
      <c r="B44" s="335" t="s">
        <v>46</v>
      </c>
      <c r="C44" s="336"/>
      <c r="D44" s="336"/>
      <c r="E44" s="200"/>
      <c r="H44" s="29"/>
    </row>
    <row r="45" spans="2:8" ht="19.95" customHeight="1" thickBot="1" x14ac:dyDescent="0.3">
      <c r="B45" s="337"/>
      <c r="C45" s="338"/>
      <c r="D45" s="338"/>
      <c r="E45" s="206"/>
      <c r="F45" s="207"/>
      <c r="G45" s="207"/>
      <c r="H45" s="209"/>
    </row>
    <row r="46" spans="2:8" ht="19.95" customHeight="1" x14ac:dyDescent="0.25"/>
    <row r="47" spans="2:8" ht="19.95" customHeight="1" x14ac:dyDescent="0.25"/>
    <row r="48" spans="2:8" ht="19.95" customHeight="1" x14ac:dyDescent="0.25"/>
    <row r="49" ht="19.95" customHeight="1" x14ac:dyDescent="0.25"/>
    <row r="50" ht="19.95" customHeight="1" x14ac:dyDescent="0.25"/>
    <row r="51" ht="19.95" customHeight="1" x14ac:dyDescent="0.25"/>
    <row r="52" ht="19.95" customHeight="1" x14ac:dyDescent="0.25"/>
    <row r="53" ht="19.95" customHeight="1" x14ac:dyDescent="0.25"/>
    <row r="54" ht="19.95" customHeight="1" x14ac:dyDescent="0.25"/>
    <row r="55" ht="19.95" customHeight="1" x14ac:dyDescent="0.25"/>
    <row r="56" ht="19.95" customHeight="1" x14ac:dyDescent="0.25"/>
    <row r="57" ht="19.95" customHeight="1" x14ac:dyDescent="0.25"/>
    <row r="58" ht="19.95" customHeight="1" x14ac:dyDescent="0.25"/>
    <row r="59" ht="19.95" customHeight="1" x14ac:dyDescent="0.25"/>
    <row r="60" ht="19.95" customHeight="1" x14ac:dyDescent="0.25"/>
    <row r="61" ht="19.95" customHeight="1" x14ac:dyDescent="0.25"/>
    <row r="62" ht="19.95" customHeight="1" x14ac:dyDescent="0.25"/>
    <row r="63" ht="19.95" customHeight="1" x14ac:dyDescent="0.25"/>
    <row r="64" ht="19.95" customHeight="1" x14ac:dyDescent="0.25"/>
    <row r="65" ht="19.95" customHeight="1" x14ac:dyDescent="0.25"/>
    <row r="66" ht="19.95" customHeight="1" x14ac:dyDescent="0.25"/>
    <row r="67" ht="19.95" customHeight="1" x14ac:dyDescent="0.25"/>
    <row r="68" ht="19.95" customHeight="1" x14ac:dyDescent="0.25"/>
    <row r="69" ht="19.95" customHeight="1" x14ac:dyDescent="0.25"/>
    <row r="70" ht="19.95" customHeight="1" x14ac:dyDescent="0.25"/>
    <row r="71" ht="19.95" customHeight="1" x14ac:dyDescent="0.25"/>
    <row r="72" ht="19.95" customHeight="1" x14ac:dyDescent="0.25"/>
    <row r="73" ht="19.95" customHeight="1" x14ac:dyDescent="0.25"/>
    <row r="74" ht="19.95" customHeight="1" x14ac:dyDescent="0.25"/>
    <row r="75" ht="19.95" customHeight="1" x14ac:dyDescent="0.25"/>
    <row r="76" ht="19.95" customHeight="1" x14ac:dyDescent="0.25"/>
    <row r="77" ht="19.95" customHeight="1" x14ac:dyDescent="0.25"/>
    <row r="78" ht="19.95" customHeight="1" x14ac:dyDescent="0.25"/>
    <row r="79" ht="19.95" customHeight="1" x14ac:dyDescent="0.25"/>
    <row r="80" ht="19.95" customHeight="1" x14ac:dyDescent="0.25"/>
    <row r="81" ht="19.95" customHeight="1" x14ac:dyDescent="0.25"/>
    <row r="82" ht="19.95" customHeight="1" x14ac:dyDescent="0.25"/>
    <row r="83" ht="19.95" customHeight="1" x14ac:dyDescent="0.25"/>
    <row r="84" ht="19.95" customHeight="1" x14ac:dyDescent="0.25"/>
    <row r="85" ht="19.95" customHeight="1" x14ac:dyDescent="0.25"/>
    <row r="86" ht="19.95" customHeight="1" x14ac:dyDescent="0.25"/>
    <row r="87" ht="19.95" customHeight="1" x14ac:dyDescent="0.25"/>
    <row r="88" ht="19.95" customHeight="1" x14ac:dyDescent="0.25"/>
    <row r="89" ht="19.95" customHeight="1" x14ac:dyDescent="0.25"/>
    <row r="90" ht="19.95" customHeight="1" x14ac:dyDescent="0.25"/>
  </sheetData>
  <sheetProtection algorithmName="SHA-512" hashValue="O+iCkhb5hfSnxQKQcdFEFlOrX8lOFSQ0M19FFsAuAGYc38iRPpXh7xrSqTB8POSSGDkc04kWqSDZ9G5Z4unAfw==" saltValue="upgcFTrukGoYi7rsXsJKZA==" spinCount="100000" sheet="1" objects="1" scenarios="1"/>
  <dataConsolidate/>
  <mergeCells count="39">
    <mergeCell ref="B42:D42"/>
    <mergeCell ref="B43:D43"/>
    <mergeCell ref="B44:D44"/>
    <mergeCell ref="B45:D45"/>
    <mergeCell ref="B23:D23"/>
    <mergeCell ref="B25:D25"/>
    <mergeCell ref="B26:D26"/>
    <mergeCell ref="B28:D28"/>
    <mergeCell ref="B29:D29"/>
    <mergeCell ref="B38:D38"/>
    <mergeCell ref="B27:D27"/>
    <mergeCell ref="B34:D34"/>
    <mergeCell ref="B37:D37"/>
    <mergeCell ref="B40:D40"/>
    <mergeCell ref="B41:D41"/>
    <mergeCell ref="B39:D39"/>
    <mergeCell ref="G22:H22"/>
    <mergeCell ref="C1:E1"/>
    <mergeCell ref="B11:E11"/>
    <mergeCell ref="B4:C4"/>
    <mergeCell ref="D4:I4"/>
    <mergeCell ref="C3:J3"/>
    <mergeCell ref="B10:H10"/>
    <mergeCell ref="B36:D36"/>
    <mergeCell ref="E5:H5"/>
    <mergeCell ref="E6:H6"/>
    <mergeCell ref="E7:H7"/>
    <mergeCell ref="E21:H21"/>
    <mergeCell ref="B19:J19"/>
    <mergeCell ref="E14:H14"/>
    <mergeCell ref="E15:H15"/>
    <mergeCell ref="E16:H16"/>
    <mergeCell ref="E17:H17"/>
    <mergeCell ref="B30:D30"/>
    <mergeCell ref="B31:D31"/>
    <mergeCell ref="B32:D32"/>
    <mergeCell ref="B33:D33"/>
    <mergeCell ref="B35:D35"/>
    <mergeCell ref="E22:F22"/>
  </mergeCells>
  <phoneticPr fontId="48" type="noConversion"/>
  <conditionalFormatting sqref="E25:H26 E28:H33 E35:H36 E38:H38 E40:H41">
    <cfRule type="dataBar" priority="1">
      <dataBar>
        <cfvo type="num" val="0"/>
        <cfvo type="num" val="1"/>
        <color theme="4" tint="0.39997558519241921"/>
      </dataBar>
      <extLst>
        <ext xmlns:x14="http://schemas.microsoft.com/office/spreadsheetml/2009/9/main" uri="{B025F937-C7B1-47D3-B67F-A62EFF666E3E}">
          <x14:id>{F1782050-9FCC-44BF-B440-6D9C630F0E5F}</x14:id>
        </ext>
      </extLst>
    </cfRule>
  </conditionalFormatting>
  <printOptions horizontalCentered="1"/>
  <pageMargins left="0.23622047244094491" right="0.23622047244094491" top="0.74803149606299213" bottom="0.74803149606299213" header="0.31496062992125984" footer="0.31496062992125984"/>
  <pageSetup scale="42" fitToHeight="0" orientation="portrait"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2080260</xdr:colOff>
                    <xdr:row>4</xdr:row>
                    <xdr:rowOff>403860</xdr:rowOff>
                  </from>
                  <to>
                    <xdr:col>2</xdr:col>
                    <xdr:colOff>2575560</xdr:colOff>
                    <xdr:row>5</xdr:row>
                    <xdr:rowOff>327660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2080260</xdr:colOff>
                    <xdr:row>5</xdr:row>
                    <xdr:rowOff>213360</xdr:rowOff>
                  </from>
                  <to>
                    <xdr:col>2</xdr:col>
                    <xdr:colOff>1089660</xdr:colOff>
                    <xdr:row>6</xdr:row>
                    <xdr:rowOff>22860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xdr:col>
                    <xdr:colOff>685800</xdr:colOff>
                    <xdr:row>5</xdr:row>
                    <xdr:rowOff>38100</xdr:rowOff>
                  </from>
                  <to>
                    <xdr:col>2</xdr:col>
                    <xdr:colOff>1775460</xdr:colOff>
                    <xdr:row>5</xdr:row>
                    <xdr:rowOff>251460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xdr:col>
                    <xdr:colOff>708660</xdr:colOff>
                    <xdr:row>5</xdr:row>
                    <xdr:rowOff>213360</xdr:rowOff>
                  </from>
                  <to>
                    <xdr:col>2</xdr:col>
                    <xdr:colOff>1828800</xdr:colOff>
                    <xdr:row>6</xdr:row>
                    <xdr:rowOff>22860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2</xdr:col>
                    <xdr:colOff>1318260</xdr:colOff>
                    <xdr:row>4</xdr:row>
                    <xdr:rowOff>518160</xdr:rowOff>
                  </from>
                  <to>
                    <xdr:col>2</xdr:col>
                    <xdr:colOff>2194560</xdr:colOff>
                    <xdr:row>5</xdr:row>
                    <xdr:rowOff>289560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2</xdr:col>
                    <xdr:colOff>1318260</xdr:colOff>
                    <xdr:row>5</xdr:row>
                    <xdr:rowOff>213360</xdr:rowOff>
                  </from>
                  <to>
                    <xdr:col>2</xdr:col>
                    <xdr:colOff>2499360</xdr:colOff>
                    <xdr:row>6</xdr:row>
                    <xdr:rowOff>22860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2</xdr:col>
                    <xdr:colOff>2004060</xdr:colOff>
                    <xdr:row>5</xdr:row>
                    <xdr:rowOff>38100</xdr:rowOff>
                  </from>
                  <to>
                    <xdr:col>3</xdr:col>
                    <xdr:colOff>22860</xdr:colOff>
                    <xdr:row>5</xdr:row>
                    <xdr:rowOff>251460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F1782050-9FCC-44BF-B440-6D9C630F0E5F}">
            <x14:dataBar minLength="0" maxLength="100" gradient="0">
              <x14:cfvo type="num">
                <xm:f>0</xm:f>
              </x14:cfvo>
              <x14:cfvo type="num">
                <xm:f>1</xm:f>
              </x14:cfvo>
              <x14:negativeFillColor rgb="FFFF0000"/>
              <x14:axisColor rgb="FF000000"/>
            </x14:dataBar>
          </x14:cfRule>
          <xm:sqref>E25:H26 E28:H33 E35:H36 E38:H38 E40:H41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F3867-87D3-4CEB-8B3E-3873145F9C9B}">
  <sheetPr codeName="Feuil10">
    <tabColor rgb="FFB1CCE6"/>
  </sheetPr>
  <dimension ref="A1:N77"/>
  <sheetViews>
    <sheetView showGridLines="0" showRowColHeaders="0" zoomScale="65" zoomScaleNormal="65" workbookViewId="0">
      <selection activeCell="B29" sqref="B29"/>
    </sheetView>
  </sheetViews>
  <sheetFormatPr baseColWidth="10" defaultColWidth="11" defaultRowHeight="13.8" x14ac:dyDescent="0.25"/>
  <cols>
    <col min="1" max="1" width="26.69921875" customWidth="1"/>
    <col min="2" max="2" width="27.69921875" customWidth="1"/>
    <col min="3" max="3" width="12.69921875" hidden="1" customWidth="1"/>
    <col min="4" max="4" width="27.69921875" customWidth="1"/>
    <col min="5" max="5" width="14.3984375" hidden="1" customWidth="1"/>
    <col min="6" max="7" width="27.69921875" customWidth="1"/>
    <col min="8" max="8" width="32.69921875" customWidth="1"/>
    <col min="9" max="11" width="30.69921875" customWidth="1"/>
    <col min="12" max="12" width="15.69921875" customWidth="1"/>
    <col min="13" max="14" width="40.69921875" customWidth="1"/>
    <col min="15" max="15" width="22.69921875" customWidth="1"/>
  </cols>
  <sheetData>
    <row r="1" spans="1:8" ht="21" customHeight="1" x14ac:dyDescent="0.25">
      <c r="A1" s="9"/>
    </row>
    <row r="2" spans="1:8" ht="22.2" customHeight="1" x14ac:dyDescent="0.25">
      <c r="A2" s="9"/>
      <c r="B2" s="373" t="s">
        <v>0</v>
      </c>
      <c r="C2" s="373"/>
      <c r="D2" s="373"/>
      <c r="E2" s="373"/>
      <c r="F2" s="373"/>
    </row>
    <row r="3" spans="1:8" ht="21.45" customHeight="1" x14ac:dyDescent="0.25">
      <c r="A3" s="9"/>
    </row>
    <row r="13" spans="1:8" ht="13.95" customHeight="1" x14ac:dyDescent="0.25"/>
    <row r="14" spans="1:8" ht="22.95" customHeight="1" x14ac:dyDescent="0.4">
      <c r="A14" s="361" t="s">
        <v>193</v>
      </c>
      <c r="B14" s="314"/>
      <c r="C14" s="314"/>
      <c r="D14" s="314"/>
    </row>
    <row r="15" spans="1:8" ht="14.4" customHeight="1" thickBot="1" x14ac:dyDescent="0.3"/>
    <row r="16" spans="1:8" ht="31.95" customHeight="1" x14ac:dyDescent="0.3">
      <c r="A16" s="39" t="s">
        <v>6</v>
      </c>
      <c r="B16" s="39" t="s">
        <v>47</v>
      </c>
      <c r="C16" s="87"/>
      <c r="D16" s="39" t="s">
        <v>7</v>
      </c>
      <c r="F16" s="39" t="s">
        <v>8</v>
      </c>
      <c r="G16" s="39" t="s">
        <v>9</v>
      </c>
      <c r="H16" s="39" t="s">
        <v>10</v>
      </c>
    </row>
    <row r="17" spans="1:11" ht="31.95" customHeight="1" thickBot="1" x14ac:dyDescent="0.3">
      <c r="A17" s="47" t="s">
        <v>195</v>
      </c>
      <c r="B17" s="277" t="s">
        <v>11</v>
      </c>
      <c r="C17" s="278"/>
      <c r="D17" s="277" t="s">
        <v>12</v>
      </c>
      <c r="E17" s="276"/>
      <c r="F17" s="277" t="s">
        <v>13</v>
      </c>
      <c r="G17" s="277" t="s">
        <v>14</v>
      </c>
      <c r="H17" s="277" t="s">
        <v>15</v>
      </c>
    </row>
    <row r="18" spans="1:11" ht="31.95" customHeight="1" thickBot="1" x14ac:dyDescent="0.3">
      <c r="A18" s="47" t="s">
        <v>16</v>
      </c>
      <c r="B18" s="284" t="s">
        <v>200</v>
      </c>
      <c r="C18" s="283"/>
      <c r="D18" s="284" t="s">
        <v>201</v>
      </c>
      <c r="E18" s="276"/>
      <c r="F18" s="280" t="s">
        <v>17</v>
      </c>
      <c r="G18" s="280" t="s">
        <v>18</v>
      </c>
      <c r="H18" s="280" t="s">
        <v>19</v>
      </c>
    </row>
    <row r="19" spans="1:11" ht="31.95" customHeight="1" thickBot="1" x14ac:dyDescent="0.3">
      <c r="A19" s="88" t="s">
        <v>20</v>
      </c>
      <c r="B19" s="281" t="s">
        <v>21</v>
      </c>
      <c r="C19" s="282"/>
      <c r="D19" s="281" t="s">
        <v>187</v>
      </c>
      <c r="E19" s="276"/>
      <c r="F19" s="281" t="s">
        <v>188</v>
      </c>
      <c r="G19" s="281" t="s">
        <v>194</v>
      </c>
      <c r="H19" s="281" t="s">
        <v>22</v>
      </c>
    </row>
    <row r="20" spans="1:11" ht="13.95" customHeight="1" x14ac:dyDescent="0.25"/>
    <row r="23" spans="1:11" ht="13.95" customHeight="1" x14ac:dyDescent="0.25"/>
    <row r="24" spans="1:11" ht="22.95" customHeight="1" x14ac:dyDescent="0.4">
      <c r="A24" s="368" t="s">
        <v>208</v>
      </c>
      <c r="B24" s="368"/>
      <c r="C24" s="368"/>
      <c r="D24" s="368"/>
      <c r="E24" s="368"/>
      <c r="F24" s="368"/>
      <c r="I24" s="1"/>
      <c r="J24" s="1"/>
      <c r="K24" s="1"/>
    </row>
    <row r="25" spans="1:11" ht="19.2" customHeight="1" x14ac:dyDescent="0.3">
      <c r="A25" s="367" t="s">
        <v>48</v>
      </c>
      <c r="B25" s="367"/>
      <c r="C25" s="367"/>
      <c r="D25" s="367"/>
      <c r="I25" s="1"/>
      <c r="J25" s="1"/>
      <c r="K25" s="1"/>
    </row>
    <row r="26" spans="1:11" ht="15.6" thickBot="1" x14ac:dyDescent="0.3">
      <c r="E26" s="366"/>
      <c r="F26" s="366"/>
      <c r="G26" s="366"/>
      <c r="I26" s="1"/>
      <c r="J26" s="1"/>
      <c r="K26" s="1"/>
    </row>
    <row r="27" spans="1:11" ht="22.2" customHeight="1" thickBot="1" x14ac:dyDescent="0.45">
      <c r="A27" s="362" t="s">
        <v>49</v>
      </c>
      <c r="B27" s="390"/>
      <c r="C27" s="390"/>
      <c r="D27" s="390"/>
      <c r="E27" s="390"/>
      <c r="F27" s="391" t="s">
        <v>50</v>
      </c>
      <c r="G27" s="390"/>
      <c r="H27" s="390"/>
      <c r="I27" s="392"/>
      <c r="J27" s="1"/>
      <c r="K27" s="1"/>
    </row>
    <row r="28" spans="1:11" ht="34.950000000000003" customHeight="1" thickBot="1" x14ac:dyDescent="0.35">
      <c r="A28" s="20" t="s">
        <v>240</v>
      </c>
      <c r="B28" s="36" t="s">
        <v>51</v>
      </c>
      <c r="C28" s="114" t="s">
        <v>52</v>
      </c>
      <c r="D28" s="75" t="s">
        <v>191</v>
      </c>
      <c r="E28" s="128" t="s">
        <v>53</v>
      </c>
      <c r="F28" s="154" t="s">
        <v>54</v>
      </c>
      <c r="G28" s="110" t="s">
        <v>55</v>
      </c>
      <c r="H28" s="37" t="s">
        <v>209</v>
      </c>
      <c r="I28" s="110" t="s">
        <v>56</v>
      </c>
      <c r="J28" t="s">
        <v>57</v>
      </c>
    </row>
    <row r="29" spans="1:11" ht="18" thickBot="1" x14ac:dyDescent="0.35">
      <c r="A29" s="73" t="s">
        <v>58</v>
      </c>
      <c r="B29" s="295" t="s">
        <v>61</v>
      </c>
      <c r="C29" s="50" t="str">
        <f>VLOOKUP(Tableau9[[#This Row],[Personne enseignante]],Feuil_M!$A$3:$B$8,2,FALSE)</f>
        <v>-</v>
      </c>
      <c r="D29" s="295" t="s">
        <v>61</v>
      </c>
      <c r="E29" s="155" t="str">
        <f>VLOOKUP(Tableau9[[#This Row],[Responsable de l’encadrement]],Feuil_M!$A$3:$B$8,2,FALSE)</f>
        <v>-</v>
      </c>
      <c r="F29" s="303" t="s">
        <v>61</v>
      </c>
      <c r="G29" s="49" t="str">
        <f>VLOOKUP(Tableau9[[#This Row],[Personne enseignante2]],Feuil_M!$A$3:$B$8,2,FALSE)</f>
        <v>-</v>
      </c>
      <c r="H29" s="295" t="s">
        <v>61</v>
      </c>
      <c r="I29" s="50" t="str">
        <f>VLOOKUP(Tableau9[[#This Row],[Responsable de l’encadrement2]],Feuil_M!$A$3:$B$8,2,FALSE)</f>
        <v>-</v>
      </c>
    </row>
    <row r="30" spans="1:11" ht="18" thickBot="1" x14ac:dyDescent="0.35">
      <c r="A30" s="73" t="s">
        <v>62</v>
      </c>
      <c r="B30" s="295" t="s">
        <v>61</v>
      </c>
      <c r="C30" s="50" t="str">
        <f>VLOOKUP(Tableau9[[#This Row],[Personne enseignante]],Feuil_M!$A$3:$B$8,2,FALSE)</f>
        <v>-</v>
      </c>
      <c r="D30" s="295" t="s">
        <v>61</v>
      </c>
      <c r="E30" s="152" t="str">
        <f>VLOOKUP(Tableau9[[#This Row],[Responsable de l’encadrement]],Feuil_M!$A$3:$B$8,2,FALSE)</f>
        <v>-</v>
      </c>
      <c r="F30" s="303" t="s">
        <v>61</v>
      </c>
      <c r="G30" s="49" t="str">
        <f>VLOOKUP(Tableau9[[#This Row],[Personne enseignante2]],Feuil_M!$A$3:$B$8,2,FALSE)</f>
        <v>-</v>
      </c>
      <c r="H30" s="295" t="s">
        <v>61</v>
      </c>
      <c r="I30" s="50" t="str">
        <f>VLOOKUP(Tableau9[[#This Row],[Responsable de l’encadrement2]],Feuil_M!$A$3:$B$8,2,FALSE)</f>
        <v>-</v>
      </c>
    </row>
    <row r="31" spans="1:11" ht="18" thickBot="1" x14ac:dyDescent="0.35">
      <c r="A31" s="73" t="s">
        <v>64</v>
      </c>
      <c r="B31" s="295" t="s">
        <v>61</v>
      </c>
      <c r="C31" s="49" t="str">
        <f>VLOOKUP(Tableau9[[#This Row],[Personne enseignante]],Feuil_M!$A$3:$B$8,2,FALSE)</f>
        <v>-</v>
      </c>
      <c r="D31" s="295" t="s">
        <v>61</v>
      </c>
      <c r="E31" s="50" t="str">
        <f>VLOOKUP(Tableau9[[#This Row],[Responsable de l’encadrement]],Feuil_M!$A$3:$B$8,2,FALSE)</f>
        <v>-</v>
      </c>
      <c r="F31" s="303" t="s">
        <v>61</v>
      </c>
      <c r="G31" s="49" t="str">
        <f>VLOOKUP(Tableau9[[#This Row],[Personne enseignante2]],Feuil_M!$A$3:$B$8,2,FALSE)</f>
        <v>-</v>
      </c>
      <c r="H31" s="295" t="s">
        <v>61</v>
      </c>
      <c r="I31" s="50" t="str">
        <f>VLOOKUP(Tableau9[[#This Row],[Responsable de l’encadrement2]],Feuil_M!$A$3:$B$8,2,FALSE)</f>
        <v>-</v>
      </c>
    </row>
    <row r="32" spans="1:11" ht="18" thickBot="1" x14ac:dyDescent="0.35">
      <c r="A32" s="73" t="s">
        <v>65</v>
      </c>
      <c r="B32" s="295" t="s">
        <v>61</v>
      </c>
      <c r="C32" s="49" t="str">
        <f>VLOOKUP(Tableau9[[#This Row],[Personne enseignante]],Feuil_M!$A$3:$B$8,2,FALSE)</f>
        <v>-</v>
      </c>
      <c r="D32" s="295" t="s">
        <v>61</v>
      </c>
      <c r="E32" s="50" t="str">
        <f>VLOOKUP(Tableau9[[#This Row],[Responsable de l’encadrement]],Feuil_M!$A$3:$B$8,2,FALSE)</f>
        <v>-</v>
      </c>
      <c r="F32" s="303" t="s">
        <v>61</v>
      </c>
      <c r="G32" s="49" t="str">
        <f>VLOOKUP(Tableau9[[#This Row],[Personne enseignante2]],Feuil_M!$A$3:$B$8,2,FALSE)</f>
        <v>-</v>
      </c>
      <c r="H32" s="295" t="s">
        <v>61</v>
      </c>
      <c r="I32" s="50" t="str">
        <f>VLOOKUP(Tableau9[[#This Row],[Responsable de l’encadrement2]],Feuil_M!$A$3:$B$8,2,FALSE)</f>
        <v>-</v>
      </c>
    </row>
    <row r="33" spans="1:14" ht="18" thickBot="1" x14ac:dyDescent="0.35">
      <c r="A33" s="73" t="s">
        <v>67</v>
      </c>
      <c r="B33" s="295" t="s">
        <v>61</v>
      </c>
      <c r="C33" s="49" t="str">
        <f>VLOOKUP(Tableau9[[#This Row],[Personne enseignante]],Feuil_M!$A$3:$B$8,2,FALSE)</f>
        <v>-</v>
      </c>
      <c r="D33" s="295" t="s">
        <v>61</v>
      </c>
      <c r="E33" s="50" t="str">
        <f>VLOOKUP(Tableau9[[#This Row],[Responsable de l’encadrement]],Feuil_M!$A$3:$B$8,2,FALSE)</f>
        <v>-</v>
      </c>
      <c r="F33" s="303" t="s">
        <v>61</v>
      </c>
      <c r="G33" s="49" t="str">
        <f>VLOOKUP(Tableau9[[#This Row],[Personne enseignante2]],Feuil_M!$A$3:$B$8,2,FALSE)</f>
        <v>-</v>
      </c>
      <c r="H33" s="295" t="s">
        <v>61</v>
      </c>
      <c r="I33" s="50" t="str">
        <f>VLOOKUP(Tableau9[[#This Row],[Responsable de l’encadrement2]],Feuil_M!$A$3:$B$8,2,FALSE)</f>
        <v>-</v>
      </c>
    </row>
    <row r="34" spans="1:14" ht="18" thickBot="1" x14ac:dyDescent="0.35">
      <c r="A34" s="73" t="s">
        <v>69</v>
      </c>
      <c r="B34" s="295" t="s">
        <v>61</v>
      </c>
      <c r="C34" s="49" t="str">
        <f>VLOOKUP(Tableau9[[#This Row],[Personne enseignante]],Feuil_M!$A$3:$B$8,2,FALSE)</f>
        <v>-</v>
      </c>
      <c r="D34" s="295" t="s">
        <v>61</v>
      </c>
      <c r="E34" s="50" t="str">
        <f>VLOOKUP(Tableau9[[#This Row],[Responsable de l’encadrement]],Feuil_M!$A$3:$B$8,2,FALSE)</f>
        <v>-</v>
      </c>
      <c r="F34" s="303" t="s">
        <v>61</v>
      </c>
      <c r="G34" s="49" t="str">
        <f>VLOOKUP(Tableau9[[#This Row],[Personne enseignante2]],Feuil_M!$A$3:$B$8,2,FALSE)</f>
        <v>-</v>
      </c>
      <c r="H34" s="295" t="s">
        <v>61</v>
      </c>
      <c r="I34" s="50" t="str">
        <f>VLOOKUP(Tableau9[[#This Row],[Responsable de l’encadrement2]],Feuil_M!$A$3:$B$8,2,FALSE)</f>
        <v>-</v>
      </c>
    </row>
    <row r="35" spans="1:14" ht="18" thickBot="1" x14ac:dyDescent="0.35">
      <c r="A35" s="73" t="s">
        <v>70</v>
      </c>
      <c r="B35" s="295" t="s">
        <v>61</v>
      </c>
      <c r="C35" s="49" t="str">
        <f>VLOOKUP(Tableau9[[#This Row],[Personne enseignante]],Feuil_M!$A$3:$B$8,2,FALSE)</f>
        <v>-</v>
      </c>
      <c r="D35" s="295" t="s">
        <v>61</v>
      </c>
      <c r="E35" s="50" t="str">
        <f>VLOOKUP(Tableau9[[#This Row],[Responsable de l’encadrement]],Feuil_M!$A$3:$B$8,2,FALSE)</f>
        <v>-</v>
      </c>
      <c r="F35" s="303" t="s">
        <v>61</v>
      </c>
      <c r="G35" s="49" t="str">
        <f>VLOOKUP(Tableau9[[#This Row],[Personne enseignante2]],Feuil_M!$A$3:$B$8,2,FALSE)</f>
        <v>-</v>
      </c>
      <c r="H35" s="295" t="s">
        <v>61</v>
      </c>
      <c r="I35" s="50" t="str">
        <f>VLOOKUP(Tableau9[[#This Row],[Responsable de l’encadrement2]],Feuil_M!$A$3:$B$8,2,FALSE)</f>
        <v>-</v>
      </c>
    </row>
    <row r="36" spans="1:14" ht="18" thickBot="1" x14ac:dyDescent="0.35">
      <c r="A36" s="73" t="s">
        <v>71</v>
      </c>
      <c r="B36" s="295" t="s">
        <v>61</v>
      </c>
      <c r="C36" s="50" t="str">
        <f>VLOOKUP(Tableau9[[#This Row],[Personne enseignante]],Feuil_M!$A$3:$B$8,2,FALSE)</f>
        <v>-</v>
      </c>
      <c r="D36" s="295" t="s">
        <v>61</v>
      </c>
      <c r="E36" s="152" t="str">
        <f>VLOOKUP(Tableau9[[#This Row],[Responsable de l’encadrement]],Feuil_M!$A$3:$B$8,2,FALSE)</f>
        <v>-</v>
      </c>
      <c r="F36" s="303" t="s">
        <v>61</v>
      </c>
      <c r="G36" s="49" t="str">
        <f>VLOOKUP(Tableau9[[#This Row],[Personne enseignante2]],Feuil_M!$A$3:$B$8,2,FALSE)</f>
        <v>-</v>
      </c>
      <c r="H36" s="295" t="s">
        <v>61</v>
      </c>
      <c r="I36" s="50" t="str">
        <f>VLOOKUP(Tableau9[[#This Row],[Responsable de l’encadrement2]],Feuil_M!$A$3:$B$8,2,FALSE)</f>
        <v>-</v>
      </c>
    </row>
    <row r="37" spans="1:14" ht="18" thickBot="1" x14ac:dyDescent="0.35">
      <c r="A37" s="363"/>
      <c r="B37" s="364"/>
      <c r="C37" s="364"/>
      <c r="D37" s="63"/>
      <c r="E37" s="118"/>
      <c r="F37" s="12"/>
      <c r="G37" s="4"/>
      <c r="H37" s="4"/>
      <c r="I37" s="17"/>
    </row>
    <row r="38" spans="1:14" ht="18" thickBot="1" x14ac:dyDescent="0.35">
      <c r="A38" s="101" t="s">
        <v>211</v>
      </c>
      <c r="B38" s="54"/>
      <c r="C38" s="164" t="str">
        <f>IF(SUBTOTAL(102,Tableau9[Résultats For1])=0,"",SUBTOTAL(101,Tableau9[Résultats For1]))</f>
        <v/>
      </c>
      <c r="D38" s="67" t="s">
        <v>73</v>
      </c>
      <c r="E38" s="164" t="str">
        <f>IF(SUBTOTAL(102,Tableau9[Résultats For2])=0,"",SUBTOTAL(101,Tableau9[Résultats For2]))</f>
        <v/>
      </c>
      <c r="F38" s="52"/>
      <c r="G38" s="164" t="str">
        <f>IF(SUBTOTAL(102,Tableau9[Résultats Som1])=0,"",SUBTOTAL(101,Tableau9[Résultats Som1]))</f>
        <v/>
      </c>
      <c r="H38" s="51"/>
      <c r="I38" s="165" t="str">
        <f>IF(SUBTOTAL(102,Tableau9[Résultats Som2])=0,"",SUBTOTAL(101,Tableau9[Résultats Som2]))</f>
        <v/>
      </c>
    </row>
    <row r="39" spans="1:14" ht="43.2" customHeight="1" x14ac:dyDescent="0.3">
      <c r="A39" s="314" t="s">
        <v>239</v>
      </c>
      <c r="B39" s="314"/>
      <c r="C39" s="314"/>
      <c r="D39" s="314"/>
      <c r="E39" s="314"/>
      <c r="G39" s="1"/>
      <c r="H39" s="1"/>
      <c r="I39" s="1"/>
      <c r="J39" s="1"/>
      <c r="K39" s="1"/>
    </row>
    <row r="40" spans="1:14" x14ac:dyDescent="0.25">
      <c r="E40" s="16"/>
      <c r="G40" s="16"/>
      <c r="H40" s="1"/>
      <c r="I40" s="1"/>
      <c r="J40" s="1"/>
      <c r="K40" s="1"/>
    </row>
    <row r="41" spans="1:14" ht="19.95" customHeight="1" thickBot="1" x14ac:dyDescent="0.35">
      <c r="D41" s="369" t="s">
        <v>237</v>
      </c>
      <c r="E41" s="369"/>
      <c r="F41" s="369"/>
      <c r="G41" s="369"/>
      <c r="I41" s="353" t="s">
        <v>213</v>
      </c>
      <c r="J41" s="353"/>
      <c r="K41" s="353"/>
      <c r="M41" s="353" t="s">
        <v>72</v>
      </c>
      <c r="N41" s="353"/>
    </row>
    <row r="42" spans="1:14" ht="154.19999999999999" customHeight="1" thickBot="1" x14ac:dyDescent="0.3">
      <c r="D42" s="350" t="s">
        <v>214</v>
      </c>
      <c r="E42" s="351"/>
      <c r="F42" s="351"/>
      <c r="G42" s="352"/>
      <c r="I42" s="350" t="s">
        <v>214</v>
      </c>
      <c r="J42" s="351"/>
      <c r="K42" s="352"/>
      <c r="M42" s="354" t="s">
        <v>215</v>
      </c>
      <c r="N42" s="355"/>
    </row>
    <row r="43" spans="1:14" ht="16.2" customHeight="1" x14ac:dyDescent="0.25">
      <c r="D43" t="s">
        <v>216</v>
      </c>
      <c r="F43">
        <f>LEN(TRIM(D42))-LEN(SUBSTITUTE(D42," ",""))+1</f>
        <v>7</v>
      </c>
      <c r="I43" t="s">
        <v>216</v>
      </c>
      <c r="J43">
        <f>LEN(TRIM(I42))-LEN(SUBSTITUTE(I42," ",""))+1</f>
        <v>7</v>
      </c>
      <c r="M43" t="s">
        <v>216</v>
      </c>
      <c r="N43">
        <f>LEN(TRIM(M42))-LEN(SUBSTITUTE(M42," ",""))+1</f>
        <v>8</v>
      </c>
    </row>
    <row r="44" spans="1:14" ht="19.95" customHeight="1" x14ac:dyDescent="0.25">
      <c r="K44" s="97"/>
    </row>
    <row r="45" spans="1:14" ht="25.95" customHeight="1" thickBot="1" x14ac:dyDescent="0.35">
      <c r="D45" s="369" t="s">
        <v>237</v>
      </c>
      <c r="E45" s="369"/>
      <c r="F45" s="369"/>
      <c r="G45" s="369"/>
      <c r="I45" s="353" t="s">
        <v>213</v>
      </c>
      <c r="J45" s="353"/>
      <c r="K45" s="353"/>
      <c r="M45" s="353" t="s">
        <v>72</v>
      </c>
      <c r="N45" s="353"/>
    </row>
    <row r="46" spans="1:14" ht="153.44999999999999" customHeight="1" thickBot="1" x14ac:dyDescent="0.3">
      <c r="D46" s="350" t="s">
        <v>214</v>
      </c>
      <c r="E46" s="351"/>
      <c r="F46" s="351"/>
      <c r="G46" s="352"/>
      <c r="I46" s="350" t="s">
        <v>214</v>
      </c>
      <c r="J46" s="351"/>
      <c r="K46" s="352"/>
      <c r="M46" s="354" t="s">
        <v>215</v>
      </c>
      <c r="N46" s="355"/>
    </row>
    <row r="47" spans="1:14" ht="19.2" customHeight="1" x14ac:dyDescent="0.25">
      <c r="D47" t="s">
        <v>216</v>
      </c>
      <c r="F47">
        <f>LEN(TRIM(D46))-LEN(SUBSTITUTE(D46," ",""))+1</f>
        <v>7</v>
      </c>
      <c r="I47" t="s">
        <v>216</v>
      </c>
      <c r="J47">
        <f>LEN(TRIM(I46))-LEN(SUBSTITUTE(I46," ",""))+1</f>
        <v>7</v>
      </c>
      <c r="M47" t="s">
        <v>216</v>
      </c>
      <c r="N47">
        <f>LEN(TRIM(M46))-LEN(SUBSTITUTE(M46," ",""))+1</f>
        <v>8</v>
      </c>
    </row>
    <row r="48" spans="1:14" ht="23.7" customHeight="1" x14ac:dyDescent="0.25"/>
    <row r="49" spans="1:14" ht="31.2" customHeight="1" thickBot="1" x14ac:dyDescent="0.35">
      <c r="D49" s="369" t="s">
        <v>237</v>
      </c>
      <c r="E49" s="369"/>
      <c r="F49" s="369"/>
      <c r="G49" s="369"/>
      <c r="I49" s="353" t="s">
        <v>213</v>
      </c>
      <c r="J49" s="353"/>
      <c r="K49" s="353"/>
      <c r="M49" s="353" t="s">
        <v>72</v>
      </c>
      <c r="N49" s="353"/>
    </row>
    <row r="50" spans="1:14" ht="148.19999999999999" customHeight="1" thickBot="1" x14ac:dyDescent="0.3">
      <c r="D50" s="350" t="s">
        <v>214</v>
      </c>
      <c r="E50" s="351"/>
      <c r="F50" s="351"/>
      <c r="G50" s="352"/>
      <c r="I50" s="350" t="s">
        <v>214</v>
      </c>
      <c r="J50" s="351"/>
      <c r="K50" s="352"/>
      <c r="M50" s="354" t="s">
        <v>215</v>
      </c>
      <c r="N50" s="355"/>
    </row>
    <row r="51" spans="1:14" x14ac:dyDescent="0.25">
      <c r="D51" t="s">
        <v>216</v>
      </c>
      <c r="F51">
        <f>LEN(TRIM(D50))-LEN(SUBSTITUTE(D50," ",""))+1</f>
        <v>7</v>
      </c>
      <c r="I51" t="s">
        <v>216</v>
      </c>
      <c r="J51">
        <f>LEN(TRIM(I50))-LEN(SUBSTITUTE(I50," ",""))+1</f>
        <v>7</v>
      </c>
      <c r="M51" t="s">
        <v>216</v>
      </c>
      <c r="N51">
        <f>LEN(TRIM(M50))-LEN(SUBSTITUTE(M50," ",""))+1</f>
        <v>8</v>
      </c>
    </row>
    <row r="53" spans="1:14" ht="16.2" customHeight="1" thickBot="1" x14ac:dyDescent="0.35">
      <c r="A53" s="94"/>
      <c r="D53" s="369" t="s">
        <v>237</v>
      </c>
      <c r="E53" s="369"/>
      <c r="F53" s="369"/>
      <c r="G53" s="369"/>
      <c r="I53" s="353" t="s">
        <v>213</v>
      </c>
      <c r="J53" s="353"/>
      <c r="K53" s="353"/>
      <c r="M53" s="353" t="s">
        <v>72</v>
      </c>
      <c r="N53" s="353"/>
    </row>
    <row r="54" spans="1:14" ht="160.94999999999999" customHeight="1" thickBot="1" x14ac:dyDescent="0.3">
      <c r="D54" s="350" t="s">
        <v>214</v>
      </c>
      <c r="E54" s="351"/>
      <c r="F54" s="351"/>
      <c r="G54" s="352"/>
      <c r="I54" s="350" t="s">
        <v>214</v>
      </c>
      <c r="J54" s="351"/>
      <c r="K54" s="352"/>
      <c r="M54" s="354" t="s">
        <v>215</v>
      </c>
      <c r="N54" s="355"/>
    </row>
    <row r="55" spans="1:14" ht="27.45" customHeight="1" x14ac:dyDescent="0.25">
      <c r="D55" t="s">
        <v>216</v>
      </c>
      <c r="F55">
        <f>LEN(TRIM(D54))-LEN(SUBSTITUTE(D54," ",""))+1</f>
        <v>7</v>
      </c>
      <c r="I55" t="s">
        <v>216</v>
      </c>
      <c r="J55">
        <f>LEN(TRIM(I54))-LEN(SUBSTITUTE(I54," ",""))+1</f>
        <v>7</v>
      </c>
      <c r="M55" t="s">
        <v>216</v>
      </c>
      <c r="N55">
        <f>LEN(TRIM(M54))-LEN(SUBSTITUTE(M54," ",""))+1</f>
        <v>8</v>
      </c>
    </row>
    <row r="57" spans="1:14" ht="16.2" customHeight="1" thickBot="1" x14ac:dyDescent="0.35">
      <c r="D57" s="369" t="s">
        <v>237</v>
      </c>
      <c r="E57" s="369"/>
      <c r="F57" s="369"/>
      <c r="G57" s="369"/>
      <c r="I57" s="353" t="s">
        <v>213</v>
      </c>
      <c r="J57" s="353"/>
      <c r="K57" s="353"/>
      <c r="M57" s="353" t="s">
        <v>72</v>
      </c>
      <c r="N57" s="353"/>
    </row>
    <row r="58" spans="1:14" ht="165.45" customHeight="1" thickBot="1" x14ac:dyDescent="0.3">
      <c r="D58" s="350" t="s">
        <v>214</v>
      </c>
      <c r="E58" s="351"/>
      <c r="F58" s="351"/>
      <c r="G58" s="352"/>
      <c r="I58" s="350" t="s">
        <v>214</v>
      </c>
      <c r="J58" s="351"/>
      <c r="K58" s="352"/>
      <c r="M58" s="354" t="s">
        <v>215</v>
      </c>
      <c r="N58" s="355"/>
    </row>
    <row r="59" spans="1:14" x14ac:dyDescent="0.25">
      <c r="D59" t="s">
        <v>216</v>
      </c>
      <c r="F59">
        <f>LEN(TRIM(D58))-LEN(SUBSTITUTE(D58," ",""))+1</f>
        <v>7</v>
      </c>
      <c r="I59" t="s">
        <v>216</v>
      </c>
      <c r="J59">
        <f>LEN(TRIM(I58))-LEN(SUBSTITUTE(I58," ",""))+1</f>
        <v>7</v>
      </c>
      <c r="M59" t="s">
        <v>216</v>
      </c>
      <c r="N59">
        <f>LEN(TRIM(M58))-LEN(SUBSTITUTE(M58," ",""))+1</f>
        <v>8</v>
      </c>
    </row>
    <row r="61" spans="1:14" ht="16.2" thickBot="1" x14ac:dyDescent="0.35">
      <c r="D61" s="369" t="s">
        <v>237</v>
      </c>
      <c r="E61" s="369"/>
      <c r="F61" s="369"/>
      <c r="G61" s="369"/>
      <c r="I61" s="353" t="s">
        <v>213</v>
      </c>
      <c r="J61" s="353"/>
      <c r="K61" s="353"/>
      <c r="M61" s="353" t="s">
        <v>72</v>
      </c>
      <c r="N61" s="353"/>
    </row>
    <row r="62" spans="1:14" ht="162" customHeight="1" thickBot="1" x14ac:dyDescent="0.3">
      <c r="D62" s="350" t="s">
        <v>214</v>
      </c>
      <c r="E62" s="351"/>
      <c r="F62" s="351"/>
      <c r="G62" s="352"/>
      <c r="I62" s="350" t="s">
        <v>214</v>
      </c>
      <c r="J62" s="351"/>
      <c r="K62" s="352"/>
      <c r="M62" s="354" t="s">
        <v>215</v>
      </c>
      <c r="N62" s="355"/>
    </row>
    <row r="63" spans="1:14" x14ac:dyDescent="0.25">
      <c r="D63" t="s">
        <v>216</v>
      </c>
      <c r="F63">
        <f>LEN(TRIM(D62))-LEN(SUBSTITUTE(D62," ",""))+1</f>
        <v>7</v>
      </c>
      <c r="I63" t="s">
        <v>216</v>
      </c>
      <c r="J63">
        <f>LEN(TRIM(I62))-LEN(SUBSTITUTE(I62," ",""))+1</f>
        <v>7</v>
      </c>
      <c r="M63" t="s">
        <v>216</v>
      </c>
      <c r="N63">
        <f>LEN(TRIM(M62))-LEN(SUBSTITUTE(M62," ",""))+1</f>
        <v>8</v>
      </c>
    </row>
    <row r="65" spans="1:14" ht="16.2" thickBot="1" x14ac:dyDescent="0.35">
      <c r="D65" s="369" t="s">
        <v>237</v>
      </c>
      <c r="E65" s="369"/>
      <c r="F65" s="369"/>
      <c r="G65" s="369"/>
      <c r="I65" s="353" t="s">
        <v>213</v>
      </c>
      <c r="J65" s="353"/>
      <c r="K65" s="353"/>
      <c r="M65" s="353" t="s">
        <v>72</v>
      </c>
      <c r="N65" s="353"/>
    </row>
    <row r="66" spans="1:14" ht="162" customHeight="1" thickBot="1" x14ac:dyDescent="0.3">
      <c r="D66" s="350" t="s">
        <v>214</v>
      </c>
      <c r="E66" s="351"/>
      <c r="F66" s="351"/>
      <c r="G66" s="352"/>
      <c r="I66" s="350" t="s">
        <v>214</v>
      </c>
      <c r="J66" s="351"/>
      <c r="K66" s="352"/>
      <c r="M66" s="354" t="s">
        <v>215</v>
      </c>
      <c r="N66" s="355"/>
    </row>
    <row r="67" spans="1:14" x14ac:dyDescent="0.25">
      <c r="D67" t="s">
        <v>216</v>
      </c>
      <c r="F67">
        <f>LEN(TRIM(D66))-LEN(SUBSTITUTE(D66," ",""))+1</f>
        <v>7</v>
      </c>
      <c r="I67" t="s">
        <v>216</v>
      </c>
      <c r="J67">
        <f>LEN(TRIM(I66))-LEN(SUBSTITUTE(I66," ",""))+1</f>
        <v>7</v>
      </c>
      <c r="M67" t="s">
        <v>216</v>
      </c>
      <c r="N67">
        <f>LEN(TRIM(M66))-LEN(SUBSTITUTE(M66," ",""))+1</f>
        <v>8</v>
      </c>
    </row>
    <row r="69" spans="1:14" ht="16.2" thickBot="1" x14ac:dyDescent="0.35">
      <c r="D69" s="369" t="s">
        <v>237</v>
      </c>
      <c r="E69" s="369"/>
      <c r="F69" s="369"/>
      <c r="G69" s="369"/>
      <c r="I69" s="353" t="s">
        <v>213</v>
      </c>
      <c r="J69" s="353"/>
      <c r="K69" s="353"/>
      <c r="M69" s="353" t="s">
        <v>72</v>
      </c>
      <c r="N69" s="353"/>
    </row>
    <row r="70" spans="1:14" ht="163.19999999999999" customHeight="1" thickBot="1" x14ac:dyDescent="0.3">
      <c r="D70" s="350" t="s">
        <v>214</v>
      </c>
      <c r="E70" s="351"/>
      <c r="F70" s="351"/>
      <c r="G70" s="352"/>
      <c r="I70" s="350" t="s">
        <v>214</v>
      </c>
      <c r="J70" s="351"/>
      <c r="K70" s="352"/>
      <c r="M70" s="354" t="s">
        <v>215</v>
      </c>
      <c r="N70" s="355"/>
    </row>
    <row r="71" spans="1:14" x14ac:dyDescent="0.25">
      <c r="A71" s="173"/>
      <c r="D71" t="s">
        <v>216</v>
      </c>
      <c r="F71">
        <f>LEN(TRIM(D70))-LEN(SUBSTITUTE(D70," ",""))+1</f>
        <v>7</v>
      </c>
      <c r="I71" t="s">
        <v>216</v>
      </c>
      <c r="J71">
        <f>LEN(TRIM(I70))-LEN(SUBSTITUTE(I70," ",""))+1</f>
        <v>7</v>
      </c>
      <c r="M71" t="s">
        <v>216</v>
      </c>
      <c r="N71">
        <f>LEN(TRIM(M70))-LEN(SUBSTITUTE(M70," ",""))+1</f>
        <v>8</v>
      </c>
    </row>
    <row r="73" spans="1:14" x14ac:dyDescent="0.25">
      <c r="A73" s="174"/>
    </row>
    <row r="75" spans="1:14" x14ac:dyDescent="0.25">
      <c r="A75" s="178"/>
      <c r="B75" s="177"/>
    </row>
    <row r="77" spans="1:14" x14ac:dyDescent="0.25">
      <c r="B77" s="174"/>
    </row>
  </sheetData>
  <sheetProtection algorithmName="SHA-512" hashValue="wI8I17k/+sCEZDzaqWQpU9OgfoKM41y+fb+VjUg+VfChfpEtJCoNnAV5fefgDPpG9b/6rl+TmCyLE1vHxjXdLg==" saltValue="NdYnqb2X3NW8vykqs1/cpw==" spinCount="100000" sheet="1" objects="1" scenarios="1" selectLockedCells="1"/>
  <mergeCells count="57">
    <mergeCell ref="D45:G45"/>
    <mergeCell ref="D46:G46"/>
    <mergeCell ref="A14:D14"/>
    <mergeCell ref="A24:F24"/>
    <mergeCell ref="B2:F2"/>
    <mergeCell ref="A37:C37"/>
    <mergeCell ref="D42:G42"/>
    <mergeCell ref="D41:G41"/>
    <mergeCell ref="F27:I27"/>
    <mergeCell ref="A27:E27"/>
    <mergeCell ref="A39:E39"/>
    <mergeCell ref="A25:D25"/>
    <mergeCell ref="E26:G26"/>
    <mergeCell ref="D49:G49"/>
    <mergeCell ref="D50:G50"/>
    <mergeCell ref="D53:G53"/>
    <mergeCell ref="D54:G54"/>
    <mergeCell ref="D57:G57"/>
    <mergeCell ref="I65:K65"/>
    <mergeCell ref="I66:K66"/>
    <mergeCell ref="D58:G58"/>
    <mergeCell ref="D61:G61"/>
    <mergeCell ref="D62:G62"/>
    <mergeCell ref="D65:G65"/>
    <mergeCell ref="D66:G66"/>
    <mergeCell ref="M65:N65"/>
    <mergeCell ref="M66:N66"/>
    <mergeCell ref="D69:G69"/>
    <mergeCell ref="D70:G70"/>
    <mergeCell ref="I41:K41"/>
    <mergeCell ref="I42:K42"/>
    <mergeCell ref="I45:K45"/>
    <mergeCell ref="I46:K46"/>
    <mergeCell ref="I49:K49"/>
    <mergeCell ref="I50:K50"/>
    <mergeCell ref="I53:K53"/>
    <mergeCell ref="I54:K54"/>
    <mergeCell ref="I57:K57"/>
    <mergeCell ref="I58:K58"/>
    <mergeCell ref="I61:K61"/>
    <mergeCell ref="I62:K62"/>
    <mergeCell ref="M69:N69"/>
    <mergeCell ref="M70:N70"/>
    <mergeCell ref="I69:K69"/>
    <mergeCell ref="I70:K70"/>
    <mergeCell ref="M41:N41"/>
    <mergeCell ref="M42:N42"/>
    <mergeCell ref="M45:N45"/>
    <mergeCell ref="M46:N46"/>
    <mergeCell ref="M49:N49"/>
    <mergeCell ref="M50:N50"/>
    <mergeCell ref="M53:N53"/>
    <mergeCell ref="M54:N54"/>
    <mergeCell ref="M57:N57"/>
    <mergeCell ref="M58:N58"/>
    <mergeCell ref="M61:N61"/>
    <mergeCell ref="M62:N62"/>
  </mergeCells>
  <dataValidations count="1">
    <dataValidation type="custom" allowBlank="1" showErrorMessage="1" error="Le nombre de mots de cette zone de commentaire semble être supérieur à 150" sqref="D42:G42 M70:N70 M66:N66 M62:N62 M58:N58 M54:N54 M50:N50 M46:N46 M42:N42 I70:K70 I66:K66 I62:K62 I58:K58 I54:K54 I50:K50 I46:K46 I42:K42 D70:G70 D66:G66 D62:G62 D58:G58 D54:G54 D50:G50 D46:G46" xr:uid="{DDD070CD-1A5F-487A-87EC-F50FE4D5FFD4}">
      <formula1>LEN(TRIM(D42))-LEN(SUBSTITUTE(D42," ",""))+1&lt;=150</formula1>
    </dataValidation>
  </dataValidations>
  <pageMargins left="0.7" right="0.7" top="0.75" bottom="0.75" header="0.3" footer="0.3"/>
  <pageSetup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2DFDE844-8C5C-4573-B82F-23CCE110D7A4}">
          <x14:formula1>
            <xm:f>Feuil_M!$A$3:$A$8</xm:f>
          </x14:formula1>
          <xm:sqref>F29:F36 D29:D36 B29:B36 H29:H36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7DB47-1D68-40CF-8D9D-DFFBF707859B}">
  <sheetPr codeName="Feuil11">
    <tabColor rgb="FFB1CCE6"/>
  </sheetPr>
  <dimension ref="A1:N76"/>
  <sheetViews>
    <sheetView showGridLines="0" showRowColHeaders="0" zoomScale="65" zoomScaleNormal="65" workbookViewId="0">
      <selection activeCell="B29" sqref="B29"/>
    </sheetView>
  </sheetViews>
  <sheetFormatPr baseColWidth="10" defaultColWidth="11" defaultRowHeight="13.8" x14ac:dyDescent="0.25"/>
  <cols>
    <col min="1" max="1" width="26.69921875" customWidth="1"/>
    <col min="2" max="2" width="27.69921875" customWidth="1"/>
    <col min="3" max="3" width="31.69921875" hidden="1" customWidth="1"/>
    <col min="4" max="4" width="27.69921875" customWidth="1"/>
    <col min="5" max="5" width="27.5" hidden="1" customWidth="1"/>
    <col min="6" max="7" width="27.69921875" customWidth="1"/>
    <col min="8" max="8" width="32.69921875" customWidth="1"/>
    <col min="9" max="11" width="30.69921875" customWidth="1"/>
    <col min="12" max="12" width="15.69921875" customWidth="1"/>
    <col min="13" max="14" width="40.69921875" customWidth="1"/>
    <col min="17" max="17" width="20" customWidth="1"/>
  </cols>
  <sheetData>
    <row r="1" spans="1:8" ht="21" customHeight="1" x14ac:dyDescent="0.25">
      <c r="A1" s="9"/>
    </row>
    <row r="2" spans="1:8" ht="22.2" customHeight="1" x14ac:dyDescent="0.25">
      <c r="A2" s="9"/>
      <c r="B2" s="373" t="s">
        <v>0</v>
      </c>
      <c r="C2" s="373"/>
      <c r="D2" s="373"/>
      <c r="E2" s="373"/>
      <c r="F2" s="373"/>
    </row>
    <row r="3" spans="1:8" ht="21.45" customHeight="1" x14ac:dyDescent="0.25">
      <c r="A3" s="9"/>
    </row>
    <row r="13" spans="1:8" ht="13.95" customHeight="1" x14ac:dyDescent="0.25"/>
    <row r="14" spans="1:8" ht="22.95" customHeight="1" x14ac:dyDescent="0.4">
      <c r="A14" s="361" t="s">
        <v>193</v>
      </c>
      <c r="B14" s="314"/>
      <c r="C14" s="314"/>
      <c r="D14" s="314"/>
    </row>
    <row r="15" spans="1:8" ht="14.4" customHeight="1" thickBot="1" x14ac:dyDescent="0.3"/>
    <row r="16" spans="1:8" ht="31.95" customHeight="1" x14ac:dyDescent="0.3">
      <c r="A16" s="39" t="s">
        <v>6</v>
      </c>
      <c r="B16" s="39" t="s">
        <v>47</v>
      </c>
      <c r="C16" s="87"/>
      <c r="D16" s="39" t="s">
        <v>7</v>
      </c>
      <c r="F16" s="39" t="s">
        <v>8</v>
      </c>
      <c r="G16" s="39" t="s">
        <v>9</v>
      </c>
      <c r="H16" s="39" t="s">
        <v>10</v>
      </c>
    </row>
    <row r="17" spans="1:11" ht="31.95" customHeight="1" thickBot="1" x14ac:dyDescent="0.3">
      <c r="A17" s="47" t="s">
        <v>195</v>
      </c>
      <c r="B17" s="277" t="s">
        <v>11</v>
      </c>
      <c r="C17" s="278"/>
      <c r="D17" s="277" t="s">
        <v>12</v>
      </c>
      <c r="E17" s="276"/>
      <c r="F17" s="277" t="s">
        <v>13</v>
      </c>
      <c r="G17" s="277" t="s">
        <v>14</v>
      </c>
      <c r="H17" s="277" t="s">
        <v>15</v>
      </c>
    </row>
    <row r="18" spans="1:11" ht="31.95" customHeight="1" thickBot="1" x14ac:dyDescent="0.3">
      <c r="A18" s="47" t="s">
        <v>16</v>
      </c>
      <c r="B18" s="284" t="s">
        <v>200</v>
      </c>
      <c r="C18" s="279"/>
      <c r="D18" s="284" t="s">
        <v>201</v>
      </c>
      <c r="E18" s="276"/>
      <c r="F18" s="280" t="s">
        <v>17</v>
      </c>
      <c r="G18" s="280" t="s">
        <v>18</v>
      </c>
      <c r="H18" s="280" t="s">
        <v>19</v>
      </c>
    </row>
    <row r="19" spans="1:11" ht="31.95" customHeight="1" thickBot="1" x14ac:dyDescent="0.3">
      <c r="A19" s="88" t="s">
        <v>20</v>
      </c>
      <c r="B19" s="281" t="s">
        <v>21</v>
      </c>
      <c r="C19" s="282"/>
      <c r="D19" s="281" t="s">
        <v>187</v>
      </c>
      <c r="E19" s="276"/>
      <c r="F19" s="281" t="s">
        <v>188</v>
      </c>
      <c r="G19" s="281" t="s">
        <v>194</v>
      </c>
      <c r="H19" s="281" t="s">
        <v>22</v>
      </c>
    </row>
    <row r="20" spans="1:11" ht="13.95" customHeight="1" x14ac:dyDescent="0.25"/>
    <row r="23" spans="1:11" ht="13.95" customHeight="1" x14ac:dyDescent="0.25"/>
    <row r="24" spans="1:11" ht="22.95" customHeight="1" x14ac:dyDescent="0.4">
      <c r="A24" s="368" t="s">
        <v>208</v>
      </c>
      <c r="B24" s="368"/>
      <c r="C24" s="368"/>
      <c r="D24" s="368"/>
      <c r="E24" s="368"/>
      <c r="F24" s="368"/>
      <c r="G24" s="2"/>
      <c r="I24" s="1"/>
      <c r="J24" s="1"/>
      <c r="K24" s="1"/>
    </row>
    <row r="25" spans="1:11" ht="19.2" customHeight="1" x14ac:dyDescent="0.3">
      <c r="A25" s="367" t="s">
        <v>48</v>
      </c>
      <c r="B25" s="367"/>
      <c r="C25" s="367"/>
      <c r="D25" s="367"/>
      <c r="I25" s="1"/>
      <c r="J25" s="1"/>
      <c r="K25" s="1"/>
    </row>
    <row r="26" spans="1:11" ht="15.6" thickBot="1" x14ac:dyDescent="0.3">
      <c r="E26" s="366"/>
      <c r="F26" s="366"/>
      <c r="G26" s="366"/>
      <c r="I26" s="1"/>
      <c r="J26" s="1"/>
      <c r="K26" s="1"/>
    </row>
    <row r="27" spans="1:11" ht="22.2" customHeight="1" thickBot="1" x14ac:dyDescent="0.45">
      <c r="A27" s="362" t="s">
        <v>49</v>
      </c>
      <c r="B27" s="390"/>
      <c r="C27" s="390"/>
      <c r="D27" s="390"/>
      <c r="E27" s="390"/>
      <c r="F27" s="391" t="s">
        <v>50</v>
      </c>
      <c r="G27" s="390"/>
      <c r="H27" s="390"/>
      <c r="I27" s="392"/>
      <c r="J27" s="1"/>
      <c r="K27" s="1"/>
    </row>
    <row r="28" spans="1:11" ht="34.950000000000003" customHeight="1" thickBot="1" x14ac:dyDescent="0.35">
      <c r="A28" s="74" t="s">
        <v>242</v>
      </c>
      <c r="B28" s="36" t="s">
        <v>51</v>
      </c>
      <c r="C28" s="115" t="s">
        <v>52</v>
      </c>
      <c r="D28" s="75" t="s">
        <v>191</v>
      </c>
      <c r="E28" s="156" t="s">
        <v>53</v>
      </c>
      <c r="F28" s="159" t="s">
        <v>54</v>
      </c>
      <c r="G28" s="116" t="s">
        <v>55</v>
      </c>
      <c r="H28" s="76" t="s">
        <v>209</v>
      </c>
      <c r="I28" s="116" t="s">
        <v>56</v>
      </c>
      <c r="J28" t="s">
        <v>57</v>
      </c>
    </row>
    <row r="29" spans="1:11" ht="18" thickBot="1" x14ac:dyDescent="0.35">
      <c r="A29" s="77" t="s">
        <v>58</v>
      </c>
      <c r="B29" s="305" t="s">
        <v>61</v>
      </c>
      <c r="C29" s="53" t="str">
        <f>VLOOKUP(Tableau10[[#This Row],[Personne enseignante]],Feuil_M!$A$3:$B$8,2,FALSE)</f>
        <v>-</v>
      </c>
      <c r="D29" s="305" t="s">
        <v>61</v>
      </c>
      <c r="E29" s="157" t="str">
        <f>VLOOKUP(Tableau10[[#This Row],[Responsable de l’encadrement]],Feuil_M!$A$3:$B$8,2,FALSE)</f>
        <v>-</v>
      </c>
      <c r="F29" s="306" t="s">
        <v>61</v>
      </c>
      <c r="G29" s="58" t="str">
        <f>VLOOKUP(Tableau10[[#This Row],[Personne enseignante2]],Feuil_M!$A$3:$B$8,2,FALSE)</f>
        <v>-</v>
      </c>
      <c r="H29" s="305" t="s">
        <v>61</v>
      </c>
      <c r="I29" s="53" t="str">
        <f>VLOOKUP(Tableau10[[#This Row],[Responsable de l’encadrement2]],Feuil_M!$A$3:$B$8,2,FALSE)</f>
        <v>-</v>
      </c>
    </row>
    <row r="30" spans="1:11" ht="18" thickBot="1" x14ac:dyDescent="0.35">
      <c r="A30" s="77" t="s">
        <v>62</v>
      </c>
      <c r="B30" s="305" t="s">
        <v>61</v>
      </c>
      <c r="C30" s="53" t="str">
        <f>VLOOKUP(Tableau10[[#This Row],[Personne enseignante]],Feuil_M!$A$3:$B$8,2,FALSE)</f>
        <v>-</v>
      </c>
      <c r="D30" s="305" t="s">
        <v>61</v>
      </c>
      <c r="E30" s="157" t="str">
        <f>VLOOKUP(Tableau10[[#This Row],[Responsable de l’encadrement]],Feuil_M!$A$3:$B$8,2,FALSE)</f>
        <v>-</v>
      </c>
      <c r="F30" s="306" t="s">
        <v>61</v>
      </c>
      <c r="G30" s="58" t="str">
        <f>VLOOKUP(Tableau10[[#This Row],[Personne enseignante2]],Feuil_M!$A$3:$B$8,2,FALSE)</f>
        <v>-</v>
      </c>
      <c r="H30" s="305" t="s">
        <v>61</v>
      </c>
      <c r="I30" s="53" t="str">
        <f>VLOOKUP(Tableau10[[#This Row],[Responsable de l’encadrement2]],Feuil_M!$A$3:$B$8,2,FALSE)</f>
        <v>-</v>
      </c>
    </row>
    <row r="31" spans="1:11" ht="18" thickBot="1" x14ac:dyDescent="0.35">
      <c r="A31" s="77" t="s">
        <v>64</v>
      </c>
      <c r="B31" s="305" t="s">
        <v>61</v>
      </c>
      <c r="C31" s="95" t="str">
        <f>VLOOKUP(Tableau10[[#This Row],[Personne enseignante]],Feuil_M!$A$3:$B$8,2,FALSE)</f>
        <v>-</v>
      </c>
      <c r="D31" s="305" t="s">
        <v>61</v>
      </c>
      <c r="E31" s="158" t="str">
        <f>VLOOKUP(Tableau10[[#This Row],[Responsable de l’encadrement]],Feuil_M!$A$3:$B$8,2,FALSE)</f>
        <v>-</v>
      </c>
      <c r="F31" s="306" t="s">
        <v>61</v>
      </c>
      <c r="G31" s="58" t="str">
        <f>VLOOKUP(Tableau10[[#This Row],[Personne enseignante2]],Feuil_M!$A$3:$B$8,2,FALSE)</f>
        <v>-</v>
      </c>
      <c r="H31" s="305" t="s">
        <v>61</v>
      </c>
      <c r="I31" s="53" t="str">
        <f>VLOOKUP(Tableau10[[#This Row],[Responsable de l’encadrement2]],Feuil_M!$A$3:$B$8,2,FALSE)</f>
        <v>-</v>
      </c>
    </row>
    <row r="32" spans="1:11" ht="18" thickBot="1" x14ac:dyDescent="0.35">
      <c r="A32" s="77" t="s">
        <v>65</v>
      </c>
      <c r="B32" s="305" t="s">
        <v>61</v>
      </c>
      <c r="C32" s="95" t="str">
        <f>VLOOKUP(Tableau10[[#This Row],[Personne enseignante]],Feuil_M!$A$3:$B$8,2,FALSE)</f>
        <v>-</v>
      </c>
      <c r="D32" s="305" t="s">
        <v>61</v>
      </c>
      <c r="E32" s="158" t="str">
        <f>VLOOKUP(Tableau10[[#This Row],[Responsable de l’encadrement]],Feuil_M!$A$3:$B$8,2,FALSE)</f>
        <v>-</v>
      </c>
      <c r="F32" s="306" t="s">
        <v>61</v>
      </c>
      <c r="G32" s="58" t="str">
        <f>VLOOKUP(Tableau10[[#This Row],[Personne enseignante2]],Feuil_M!$A$3:$B$8,2,FALSE)</f>
        <v>-</v>
      </c>
      <c r="H32" s="305" t="s">
        <v>61</v>
      </c>
      <c r="I32" s="53" t="str">
        <f>VLOOKUP(Tableau10[[#This Row],[Responsable de l’encadrement2]],Feuil_M!$A$3:$B$8,2,FALSE)</f>
        <v>-</v>
      </c>
    </row>
    <row r="33" spans="1:14" ht="18" thickBot="1" x14ac:dyDescent="0.35">
      <c r="A33" s="77" t="s">
        <v>67</v>
      </c>
      <c r="B33" s="305" t="s">
        <v>61</v>
      </c>
      <c r="C33" s="95" t="str">
        <f>VLOOKUP(Tableau10[[#This Row],[Personne enseignante]],Feuil_M!$A$3:$B$8,2,FALSE)</f>
        <v>-</v>
      </c>
      <c r="D33" s="305" t="s">
        <v>61</v>
      </c>
      <c r="E33" s="158" t="str">
        <f>VLOOKUP(Tableau10[[#This Row],[Responsable de l’encadrement]],Feuil_M!$A$3:$B$8,2,FALSE)</f>
        <v>-</v>
      </c>
      <c r="F33" s="306" t="s">
        <v>61</v>
      </c>
      <c r="G33" s="58" t="str">
        <f>VLOOKUP(Tableau10[[#This Row],[Personne enseignante2]],Feuil_M!$A$3:$B$8,2,FALSE)</f>
        <v>-</v>
      </c>
      <c r="H33" s="305" t="s">
        <v>61</v>
      </c>
      <c r="I33" s="53" t="str">
        <f>VLOOKUP(Tableau10[[#This Row],[Responsable de l’encadrement2]],Feuil_M!$A$3:$B$8,2,FALSE)</f>
        <v>-</v>
      </c>
    </row>
    <row r="34" spans="1:14" ht="18" thickBot="1" x14ac:dyDescent="0.35">
      <c r="A34" s="77" t="s">
        <v>69</v>
      </c>
      <c r="B34" s="305" t="s">
        <v>61</v>
      </c>
      <c r="C34" s="95" t="str">
        <f>VLOOKUP(Tableau10[[#This Row],[Personne enseignante]],Feuil_M!$A$3:$B$8,2,FALSE)</f>
        <v>-</v>
      </c>
      <c r="D34" s="305" t="s">
        <v>61</v>
      </c>
      <c r="E34" s="158" t="str">
        <f>VLOOKUP(Tableau10[[#This Row],[Responsable de l’encadrement]],Feuil_M!$A$3:$B$8,2,FALSE)</f>
        <v>-</v>
      </c>
      <c r="F34" s="306" t="s">
        <v>61</v>
      </c>
      <c r="G34" s="58" t="str">
        <f>VLOOKUP(Tableau10[[#This Row],[Personne enseignante2]],Feuil_M!$A$3:$B$8,2,FALSE)</f>
        <v>-</v>
      </c>
      <c r="H34" s="305" t="s">
        <v>61</v>
      </c>
      <c r="I34" s="53" t="str">
        <f>VLOOKUP(Tableau10[[#This Row],[Responsable de l’encadrement2]],Feuil_M!$A$3:$B$8,2,FALSE)</f>
        <v>-</v>
      </c>
    </row>
    <row r="35" spans="1:14" ht="18" thickBot="1" x14ac:dyDescent="0.35">
      <c r="A35" s="77" t="s">
        <v>70</v>
      </c>
      <c r="B35" s="305" t="s">
        <v>61</v>
      </c>
      <c r="C35" s="53" t="str">
        <f>VLOOKUP(Tableau10[[#This Row],[Personne enseignante]],Feuil_M!$A$3:$B$8,2,FALSE)</f>
        <v>-</v>
      </c>
      <c r="D35" s="305" t="s">
        <v>61</v>
      </c>
      <c r="E35" s="157" t="str">
        <f>VLOOKUP(Tableau10[[#This Row],[Responsable de l’encadrement]],Feuil_M!$A$3:$B$8,2,FALSE)</f>
        <v>-</v>
      </c>
      <c r="F35" s="306" t="s">
        <v>61</v>
      </c>
      <c r="G35" s="58" t="str">
        <f>VLOOKUP(Tableau10[[#This Row],[Personne enseignante2]],Feuil_M!$A$3:$B$8,2,FALSE)</f>
        <v>-</v>
      </c>
      <c r="H35" s="305" t="s">
        <v>61</v>
      </c>
      <c r="I35" s="53" t="str">
        <f>VLOOKUP(Tableau10[[#This Row],[Responsable de l’encadrement2]],Feuil_M!$A$3:$B$8,2,FALSE)</f>
        <v>-</v>
      </c>
    </row>
    <row r="36" spans="1:14" ht="18" thickBot="1" x14ac:dyDescent="0.35">
      <c r="A36" s="408"/>
      <c r="B36" s="409"/>
      <c r="C36" s="409"/>
      <c r="D36" s="78"/>
      <c r="E36" s="79"/>
      <c r="F36" s="56"/>
      <c r="G36" s="57"/>
      <c r="H36" s="57"/>
      <c r="I36" s="80"/>
    </row>
    <row r="37" spans="1:14" ht="18" thickBot="1" x14ac:dyDescent="0.35">
      <c r="A37" s="101" t="s">
        <v>211</v>
      </c>
      <c r="B37" s="54"/>
      <c r="C37" s="167" t="str">
        <f>IF(SUBTOTAL(102,Tableau10[Résultats For1])=0,"",SUBTOTAL(101,Tableau10[Résultats For1]))</f>
        <v/>
      </c>
      <c r="D37" s="99" t="s">
        <v>73</v>
      </c>
      <c r="E37" s="167" t="str">
        <f>IF(SUBTOTAL(102,Tableau10[Résultats For2])=0,"",SUBTOTAL(101,Tableau10[Résultats For2]))</f>
        <v/>
      </c>
      <c r="F37" s="54"/>
      <c r="G37" s="167" t="str">
        <f>IF(SUBTOTAL(102,Tableau10[Résultats Som1])=0,"",SUBTOTAL(101,Tableau10[Résultats Som1]))</f>
        <v/>
      </c>
      <c r="H37" s="55"/>
      <c r="I37" s="168" t="str">
        <f>IF(SUBTOTAL(102,Tableau10[Résultats Som2])=0,"",SUBTOTAL(101,Tableau10[Résultats Som2]))</f>
        <v/>
      </c>
    </row>
    <row r="38" spans="1:14" ht="15.6" customHeight="1" x14ac:dyDescent="0.4">
      <c r="A38" s="368"/>
      <c r="B38" s="368"/>
      <c r="C38" s="368"/>
      <c r="D38" s="368"/>
      <c r="E38" s="368"/>
      <c r="F38" s="1"/>
      <c r="G38" s="1"/>
      <c r="H38" s="1"/>
      <c r="I38" s="1"/>
      <c r="J38" s="1"/>
      <c r="K38" s="1"/>
    </row>
    <row r="39" spans="1:14" ht="27.6" customHeight="1" x14ac:dyDescent="0.3">
      <c r="A39" s="367" t="s">
        <v>241</v>
      </c>
      <c r="B39" s="367"/>
      <c r="C39" s="367"/>
      <c r="D39" s="367"/>
      <c r="E39" s="367"/>
      <c r="G39" s="1"/>
      <c r="H39" s="1"/>
      <c r="I39" s="1"/>
      <c r="J39" s="1"/>
      <c r="K39" s="1"/>
    </row>
    <row r="40" spans="1:14" ht="16.2" customHeight="1" x14ac:dyDescent="0.25"/>
    <row r="41" spans="1:14" ht="13.2" customHeight="1" thickBot="1" x14ac:dyDescent="0.35">
      <c r="D41" s="369" t="s">
        <v>237</v>
      </c>
      <c r="E41" s="369"/>
      <c r="F41" s="369"/>
      <c r="G41" s="369"/>
      <c r="I41" s="353" t="s">
        <v>213</v>
      </c>
      <c r="J41" s="353"/>
      <c r="K41" s="353"/>
      <c r="M41" s="353" t="s">
        <v>72</v>
      </c>
      <c r="N41" s="353"/>
    </row>
    <row r="42" spans="1:14" ht="130.19999999999999" customHeight="1" thickBot="1" x14ac:dyDescent="0.3">
      <c r="D42" s="350" t="s">
        <v>214</v>
      </c>
      <c r="E42" s="351"/>
      <c r="F42" s="351"/>
      <c r="G42" s="352"/>
      <c r="I42" s="350" t="s">
        <v>214</v>
      </c>
      <c r="J42" s="351"/>
      <c r="K42" s="352"/>
      <c r="M42" s="354" t="s">
        <v>215</v>
      </c>
      <c r="N42" s="355"/>
    </row>
    <row r="43" spans="1:14" ht="13.95" customHeight="1" x14ac:dyDescent="0.25">
      <c r="D43" t="s">
        <v>216</v>
      </c>
      <c r="F43">
        <f>LEN(TRIM(D42))-LEN(SUBSTITUTE(D42," ",""))+1</f>
        <v>7</v>
      </c>
      <c r="I43" t="s">
        <v>216</v>
      </c>
      <c r="J43">
        <f>LEN(TRIM(I42))-LEN(SUBSTITUTE(I42," ",""))+1</f>
        <v>7</v>
      </c>
      <c r="M43" t="s">
        <v>216</v>
      </c>
      <c r="N43">
        <f>LEN(TRIM(M42))-LEN(SUBSTITUTE(M42," ",""))+1</f>
        <v>8</v>
      </c>
    </row>
    <row r="44" spans="1:14" ht="16.2" customHeight="1" x14ac:dyDescent="0.25">
      <c r="K44" s="97"/>
    </row>
    <row r="45" spans="1:14" ht="16.2" customHeight="1" thickBot="1" x14ac:dyDescent="0.35">
      <c r="D45" s="369" t="s">
        <v>237</v>
      </c>
      <c r="E45" s="369"/>
      <c r="F45" s="369"/>
      <c r="G45" s="369"/>
      <c r="I45" s="353" t="s">
        <v>213</v>
      </c>
      <c r="J45" s="353"/>
      <c r="K45" s="353"/>
      <c r="M45" s="353" t="s">
        <v>72</v>
      </c>
      <c r="N45" s="353"/>
    </row>
    <row r="46" spans="1:14" ht="136.19999999999999" customHeight="1" thickBot="1" x14ac:dyDescent="0.3">
      <c r="D46" s="350" t="s">
        <v>214</v>
      </c>
      <c r="E46" s="351"/>
      <c r="F46" s="351"/>
      <c r="G46" s="352"/>
      <c r="I46" s="350" t="s">
        <v>214</v>
      </c>
      <c r="J46" s="351"/>
      <c r="K46" s="352"/>
      <c r="M46" s="354" t="s">
        <v>215</v>
      </c>
      <c r="N46" s="355"/>
    </row>
    <row r="47" spans="1:14" ht="14.7" customHeight="1" x14ac:dyDescent="0.25">
      <c r="D47" t="s">
        <v>216</v>
      </c>
      <c r="F47">
        <f>LEN(TRIM(D46))-LEN(SUBSTITUTE(D46," ",""))+1</f>
        <v>7</v>
      </c>
      <c r="I47" t="s">
        <v>216</v>
      </c>
      <c r="J47">
        <f>LEN(TRIM(I46))-LEN(SUBSTITUTE(I46," ",""))+1</f>
        <v>7</v>
      </c>
      <c r="M47" t="s">
        <v>216</v>
      </c>
      <c r="N47">
        <f>LEN(TRIM(M46))-LEN(SUBSTITUTE(M46," ",""))+1</f>
        <v>8</v>
      </c>
    </row>
    <row r="49" spans="4:14" ht="16.2" customHeight="1" thickBot="1" x14ac:dyDescent="0.35">
      <c r="D49" s="369" t="s">
        <v>237</v>
      </c>
      <c r="E49" s="369"/>
      <c r="F49" s="369"/>
      <c r="G49" s="369"/>
      <c r="I49" s="353" t="s">
        <v>213</v>
      </c>
      <c r="J49" s="353"/>
      <c r="K49" s="353"/>
      <c r="M49" s="353" t="s">
        <v>72</v>
      </c>
      <c r="N49" s="353"/>
    </row>
    <row r="50" spans="4:14" ht="125.4" customHeight="1" thickBot="1" x14ac:dyDescent="0.3">
      <c r="D50" s="350" t="s">
        <v>214</v>
      </c>
      <c r="E50" s="351"/>
      <c r="F50" s="351"/>
      <c r="G50" s="352"/>
      <c r="I50" s="350" t="s">
        <v>214</v>
      </c>
      <c r="J50" s="351"/>
      <c r="K50" s="352"/>
      <c r="M50" s="354" t="s">
        <v>215</v>
      </c>
      <c r="N50" s="355"/>
    </row>
    <row r="51" spans="4:14" ht="13.95" customHeight="1" x14ac:dyDescent="0.25">
      <c r="D51" t="s">
        <v>216</v>
      </c>
      <c r="F51">
        <f>LEN(TRIM(D50))-LEN(SUBSTITUTE(D50," ",""))+1</f>
        <v>7</v>
      </c>
      <c r="I51" t="s">
        <v>216</v>
      </c>
      <c r="J51">
        <f>LEN(TRIM(I50))-LEN(SUBSTITUTE(I50," ",""))+1</f>
        <v>7</v>
      </c>
      <c r="M51" t="s">
        <v>216</v>
      </c>
      <c r="N51">
        <f>LEN(TRIM(M50))-LEN(SUBSTITUTE(M50," ",""))+1</f>
        <v>8</v>
      </c>
    </row>
    <row r="53" spans="4:14" ht="16.2" thickBot="1" x14ac:dyDescent="0.35">
      <c r="D53" s="369" t="s">
        <v>237</v>
      </c>
      <c r="E53" s="369"/>
      <c r="F53" s="369"/>
      <c r="G53" s="369"/>
      <c r="I53" s="353" t="s">
        <v>213</v>
      </c>
      <c r="J53" s="353"/>
      <c r="K53" s="353"/>
      <c r="M53" s="353" t="s">
        <v>72</v>
      </c>
      <c r="N53" s="353"/>
    </row>
    <row r="54" spans="4:14" ht="117" customHeight="1" thickBot="1" x14ac:dyDescent="0.3">
      <c r="D54" s="350" t="s">
        <v>214</v>
      </c>
      <c r="E54" s="351"/>
      <c r="F54" s="351"/>
      <c r="G54" s="352"/>
      <c r="I54" s="350" t="s">
        <v>214</v>
      </c>
      <c r="J54" s="351"/>
      <c r="K54" s="352"/>
      <c r="M54" s="354" t="s">
        <v>215</v>
      </c>
      <c r="N54" s="355"/>
    </row>
    <row r="55" spans="4:14" x14ac:dyDescent="0.25">
      <c r="D55" t="s">
        <v>216</v>
      </c>
      <c r="F55">
        <f>LEN(TRIM(D54))-LEN(SUBSTITUTE(D54," ",""))+1</f>
        <v>7</v>
      </c>
      <c r="I55" t="s">
        <v>216</v>
      </c>
      <c r="J55">
        <f>LEN(TRIM(I54))-LEN(SUBSTITUTE(I54," ",""))+1</f>
        <v>7</v>
      </c>
      <c r="M55" t="s">
        <v>216</v>
      </c>
      <c r="N55">
        <f>LEN(TRIM(M54))-LEN(SUBSTITUTE(M54," ",""))+1</f>
        <v>8</v>
      </c>
    </row>
    <row r="57" spans="4:14" ht="16.2" thickBot="1" x14ac:dyDescent="0.35">
      <c r="D57" s="369" t="s">
        <v>237</v>
      </c>
      <c r="E57" s="369"/>
      <c r="F57" s="369"/>
      <c r="G57" s="369"/>
      <c r="I57" s="353" t="s">
        <v>213</v>
      </c>
      <c r="J57" s="353"/>
      <c r="K57" s="353"/>
      <c r="M57" s="353" t="s">
        <v>72</v>
      </c>
      <c r="N57" s="353"/>
    </row>
    <row r="58" spans="4:14" ht="120.6" customHeight="1" thickBot="1" x14ac:dyDescent="0.3">
      <c r="D58" s="350" t="s">
        <v>214</v>
      </c>
      <c r="E58" s="351"/>
      <c r="F58" s="351"/>
      <c r="G58" s="352"/>
      <c r="I58" s="350" t="s">
        <v>214</v>
      </c>
      <c r="J58" s="351"/>
      <c r="K58" s="352"/>
      <c r="M58" s="354" t="s">
        <v>215</v>
      </c>
      <c r="N58" s="355"/>
    </row>
    <row r="59" spans="4:14" x14ac:dyDescent="0.25">
      <c r="D59" t="s">
        <v>216</v>
      </c>
      <c r="F59">
        <f>LEN(TRIM(D58))-LEN(SUBSTITUTE(D58," ",""))+1</f>
        <v>7</v>
      </c>
      <c r="I59" t="s">
        <v>216</v>
      </c>
      <c r="J59">
        <f>LEN(TRIM(I58))-LEN(SUBSTITUTE(I58," ",""))+1</f>
        <v>7</v>
      </c>
      <c r="M59" t="s">
        <v>216</v>
      </c>
      <c r="N59">
        <f>LEN(TRIM(M58))-LEN(SUBSTITUTE(M58," ",""))+1</f>
        <v>8</v>
      </c>
    </row>
    <row r="61" spans="4:14" ht="16.2" thickBot="1" x14ac:dyDescent="0.35">
      <c r="D61" s="369" t="s">
        <v>237</v>
      </c>
      <c r="E61" s="369"/>
      <c r="F61" s="369"/>
      <c r="G61" s="369"/>
      <c r="I61" s="353" t="s">
        <v>213</v>
      </c>
      <c r="J61" s="353"/>
      <c r="K61" s="353"/>
      <c r="M61" s="353" t="s">
        <v>72</v>
      </c>
      <c r="N61" s="353"/>
    </row>
    <row r="62" spans="4:14" ht="150" customHeight="1" thickBot="1" x14ac:dyDescent="0.3">
      <c r="D62" s="350" t="s">
        <v>214</v>
      </c>
      <c r="E62" s="351"/>
      <c r="F62" s="351"/>
      <c r="G62" s="352"/>
      <c r="I62" s="350" t="s">
        <v>214</v>
      </c>
      <c r="J62" s="351"/>
      <c r="K62" s="352"/>
      <c r="M62" s="354" t="s">
        <v>215</v>
      </c>
      <c r="N62" s="355"/>
    </row>
    <row r="63" spans="4:14" x14ac:dyDescent="0.25">
      <c r="D63" t="s">
        <v>216</v>
      </c>
      <c r="F63">
        <f>LEN(TRIM(D62))-LEN(SUBSTITUTE(D62," ",""))+1</f>
        <v>7</v>
      </c>
      <c r="I63" t="s">
        <v>216</v>
      </c>
      <c r="J63">
        <f>LEN(TRIM(I62))-LEN(SUBSTITUTE(I62," ",""))+1</f>
        <v>7</v>
      </c>
      <c r="M63" t="s">
        <v>216</v>
      </c>
      <c r="N63">
        <f>LEN(TRIM(M62))-LEN(SUBSTITUTE(M62," ",""))+1</f>
        <v>8</v>
      </c>
    </row>
    <row r="65" spans="1:14" ht="16.2" thickBot="1" x14ac:dyDescent="0.35">
      <c r="D65" s="369" t="s">
        <v>237</v>
      </c>
      <c r="E65" s="369"/>
      <c r="F65" s="369"/>
      <c r="G65" s="369"/>
      <c r="I65" s="353" t="s">
        <v>213</v>
      </c>
      <c r="J65" s="353"/>
      <c r="K65" s="353"/>
      <c r="M65" s="353" t="s">
        <v>72</v>
      </c>
      <c r="N65" s="353"/>
    </row>
    <row r="66" spans="1:14" ht="126.6" customHeight="1" thickBot="1" x14ac:dyDescent="0.3">
      <c r="D66" s="350" t="s">
        <v>214</v>
      </c>
      <c r="E66" s="351"/>
      <c r="F66" s="351"/>
      <c r="G66" s="352"/>
      <c r="I66" s="350" t="s">
        <v>214</v>
      </c>
      <c r="J66" s="351"/>
      <c r="K66" s="352"/>
      <c r="M66" s="354" t="s">
        <v>215</v>
      </c>
      <c r="N66" s="355"/>
    </row>
    <row r="67" spans="1:14" x14ac:dyDescent="0.25">
      <c r="D67" t="s">
        <v>216</v>
      </c>
      <c r="F67">
        <f>LEN(TRIM(D66))-LEN(SUBSTITUTE(D66," ",""))+1</f>
        <v>7</v>
      </c>
      <c r="I67" t="s">
        <v>216</v>
      </c>
      <c r="J67">
        <f>LEN(TRIM(I66))-LEN(SUBSTITUTE(I66," ",""))+1</f>
        <v>7</v>
      </c>
      <c r="M67" t="s">
        <v>216</v>
      </c>
      <c r="N67">
        <f>LEN(TRIM(M66))-LEN(SUBSTITUTE(M66," ",""))+1</f>
        <v>8</v>
      </c>
    </row>
    <row r="70" spans="1:14" ht="15.6" customHeight="1" x14ac:dyDescent="0.25">
      <c r="A70" s="173"/>
    </row>
    <row r="72" spans="1:14" x14ac:dyDescent="0.25">
      <c r="A72" s="174"/>
    </row>
    <row r="74" spans="1:14" x14ac:dyDescent="0.25">
      <c r="A74" s="178"/>
      <c r="B74" s="177"/>
    </row>
    <row r="76" spans="1:14" x14ac:dyDescent="0.25">
      <c r="B76" s="174"/>
    </row>
  </sheetData>
  <sheetProtection algorithmName="SHA-512" hashValue="U4V2yVSOhqoFY88Em9YL209xVX2wR9hROP1K3fGaRuBy8i/8JQcUmJiadQJwnjjpgeWkZAao3yqHMuGoGX9u0Q==" saltValue="dkFgXoAlpgK8568S6gbrdg==" spinCount="100000" sheet="1" objects="1" scenarios="1" selectLockedCells="1"/>
  <mergeCells count="52">
    <mergeCell ref="A25:D25"/>
    <mergeCell ref="E26:G26"/>
    <mergeCell ref="A14:D14"/>
    <mergeCell ref="A24:F24"/>
    <mergeCell ref="B2:F2"/>
    <mergeCell ref="D49:G49"/>
    <mergeCell ref="D58:G58"/>
    <mergeCell ref="I58:K58"/>
    <mergeCell ref="M58:N58"/>
    <mergeCell ref="A27:E27"/>
    <mergeCell ref="F27:I27"/>
    <mergeCell ref="A38:E38"/>
    <mergeCell ref="A36:C36"/>
    <mergeCell ref="A39:E39"/>
    <mergeCell ref="I49:K49"/>
    <mergeCell ref="M49:N49"/>
    <mergeCell ref="D45:G45"/>
    <mergeCell ref="I45:K45"/>
    <mergeCell ref="M45:N45"/>
    <mergeCell ref="D46:G46"/>
    <mergeCell ref="I46:K46"/>
    <mergeCell ref="M46:N46"/>
    <mergeCell ref="D41:G41"/>
    <mergeCell ref="I41:K41"/>
    <mergeCell ref="M41:N41"/>
    <mergeCell ref="D42:G42"/>
    <mergeCell ref="I42:K42"/>
    <mergeCell ref="M42:N42"/>
    <mergeCell ref="D50:G50"/>
    <mergeCell ref="I50:K50"/>
    <mergeCell ref="M50:N50"/>
    <mergeCell ref="D53:G53"/>
    <mergeCell ref="I53:K53"/>
    <mergeCell ref="M53:N53"/>
    <mergeCell ref="D54:G54"/>
    <mergeCell ref="I54:K54"/>
    <mergeCell ref="M54:N54"/>
    <mergeCell ref="D57:G57"/>
    <mergeCell ref="I57:K57"/>
    <mergeCell ref="M57:N57"/>
    <mergeCell ref="D61:G61"/>
    <mergeCell ref="I61:K61"/>
    <mergeCell ref="M61:N61"/>
    <mergeCell ref="D62:G62"/>
    <mergeCell ref="I62:K62"/>
    <mergeCell ref="M62:N62"/>
    <mergeCell ref="D65:G65"/>
    <mergeCell ref="I65:K65"/>
    <mergeCell ref="M65:N65"/>
    <mergeCell ref="D66:G66"/>
    <mergeCell ref="I66:K66"/>
    <mergeCell ref="M66:N66"/>
  </mergeCells>
  <dataValidations count="1">
    <dataValidation type="custom" allowBlank="1" showErrorMessage="1" error="Le nombre de mots de cette zone de commentaire semble être supérieur à 150" sqref="D42:G42 M66:N66 M62:N62 M58:N58 M54:N54 M50:N50 M46:N46 M42:N42 I66:K66 I62:K62 I58:K58 I54:K54 I50:K50 I46:K46 I42:K42 D66:G66 D62:G62 D58:G58 D54:G54 D50:G50 D46:G46" xr:uid="{29BFC9D1-5A02-4E1E-8F0E-4207D9B196FC}">
      <formula1>LEN(TRIM(D42))-LEN(SUBSTITUTE(D42," ",""))+1&lt;=150</formula1>
    </dataValidation>
  </dataValidations>
  <pageMargins left="0.7" right="0.7" top="0.75" bottom="0.75" header="0.3" footer="0.3"/>
  <pageSetup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C364EB34-85E4-409F-8BB1-A6569076B186}">
          <x14:formula1>
            <xm:f>Feuil_M!$A$3:$A$8</xm:f>
          </x14:formula1>
          <xm:sqref>F29:F35 H29:H35 D29:D35 B29:B35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33B5E-09A3-4148-A3F4-873D9AEBA3F0}">
  <sheetPr codeName="Feuil12">
    <tabColor rgb="FFC0EAED"/>
  </sheetPr>
  <dimension ref="A1:N85"/>
  <sheetViews>
    <sheetView showGridLines="0" showRowColHeaders="0" zoomScale="65" zoomScaleNormal="65" workbookViewId="0">
      <selection activeCell="D45" sqref="D45:G45"/>
    </sheetView>
  </sheetViews>
  <sheetFormatPr baseColWidth="10" defaultColWidth="11" defaultRowHeight="13.8" x14ac:dyDescent="0.25"/>
  <cols>
    <col min="1" max="1" width="26.69921875" customWidth="1"/>
    <col min="2" max="2" width="27.69921875" customWidth="1"/>
    <col min="3" max="3" width="14.69921875" hidden="1" customWidth="1"/>
    <col min="4" max="4" width="27.69921875" customWidth="1"/>
    <col min="5" max="5" width="33.19921875" hidden="1" customWidth="1"/>
    <col min="6" max="7" width="27.69921875" customWidth="1"/>
    <col min="8" max="8" width="32.69921875" customWidth="1"/>
    <col min="9" max="11" width="30.69921875" customWidth="1"/>
    <col min="12" max="12" width="15.69921875" customWidth="1"/>
    <col min="13" max="14" width="40.69921875" customWidth="1"/>
    <col min="15" max="15" width="20.19921875" customWidth="1"/>
  </cols>
  <sheetData>
    <row r="1" spans="1:8" ht="21" customHeight="1" x14ac:dyDescent="0.25">
      <c r="A1" s="9"/>
      <c r="B1" s="10" t="s">
        <v>57</v>
      </c>
      <c r="C1" s="102"/>
      <c r="D1" s="102"/>
      <c r="E1" s="102"/>
    </row>
    <row r="2" spans="1:8" ht="22.2" customHeight="1" x14ac:dyDescent="0.25">
      <c r="A2" s="9"/>
      <c r="B2" s="373" t="s">
        <v>0</v>
      </c>
      <c r="C2" s="373"/>
      <c r="D2" s="373"/>
      <c r="E2" s="373"/>
      <c r="F2" s="373"/>
    </row>
    <row r="3" spans="1:8" ht="21.45" customHeight="1" x14ac:dyDescent="0.25">
      <c r="A3" s="9"/>
      <c r="B3" s="324"/>
      <c r="C3" s="410"/>
      <c r="D3" s="410"/>
      <c r="E3" s="410"/>
    </row>
    <row r="13" spans="1:8" ht="13.95" customHeight="1" x14ac:dyDescent="0.25"/>
    <row r="14" spans="1:8" ht="22.95" customHeight="1" x14ac:dyDescent="0.4">
      <c r="A14" s="361" t="s">
        <v>193</v>
      </c>
      <c r="B14" s="314"/>
      <c r="C14" s="314"/>
      <c r="D14" s="314"/>
    </row>
    <row r="15" spans="1:8" ht="14.4" customHeight="1" thickBot="1" x14ac:dyDescent="0.3"/>
    <row r="16" spans="1:8" ht="31.95" customHeight="1" x14ac:dyDescent="0.3">
      <c r="A16" s="39" t="s">
        <v>6</v>
      </c>
      <c r="B16" s="39" t="s">
        <v>47</v>
      </c>
      <c r="C16" s="87"/>
      <c r="D16" s="39" t="s">
        <v>7</v>
      </c>
      <c r="F16" s="39" t="s">
        <v>8</v>
      </c>
      <c r="G16" s="39" t="s">
        <v>9</v>
      </c>
      <c r="H16" s="39" t="s">
        <v>10</v>
      </c>
    </row>
    <row r="17" spans="1:11" ht="31.95" customHeight="1" thickBot="1" x14ac:dyDescent="0.3">
      <c r="A17" s="47" t="s">
        <v>195</v>
      </c>
      <c r="B17" s="277" t="s">
        <v>11</v>
      </c>
      <c r="C17" s="278"/>
      <c r="D17" s="277" t="s">
        <v>12</v>
      </c>
      <c r="E17" s="276"/>
      <c r="F17" s="277" t="s">
        <v>13</v>
      </c>
      <c r="G17" s="277" t="s">
        <v>14</v>
      </c>
      <c r="H17" s="277" t="s">
        <v>15</v>
      </c>
    </row>
    <row r="18" spans="1:11" ht="31.95" customHeight="1" thickBot="1" x14ac:dyDescent="0.3">
      <c r="A18" s="47" t="s">
        <v>16</v>
      </c>
      <c r="B18" s="284" t="s">
        <v>200</v>
      </c>
      <c r="C18" s="283"/>
      <c r="D18" s="284" t="s">
        <v>201</v>
      </c>
      <c r="E18" s="276"/>
      <c r="F18" s="280" t="s">
        <v>17</v>
      </c>
      <c r="G18" s="280" t="s">
        <v>18</v>
      </c>
      <c r="H18" s="280" t="s">
        <v>19</v>
      </c>
    </row>
    <row r="19" spans="1:11" ht="31.95" customHeight="1" thickBot="1" x14ac:dyDescent="0.3">
      <c r="A19" s="88" t="s">
        <v>20</v>
      </c>
      <c r="B19" s="281" t="s">
        <v>21</v>
      </c>
      <c r="C19" s="282"/>
      <c r="D19" s="281" t="s">
        <v>187</v>
      </c>
      <c r="E19" s="276"/>
      <c r="F19" s="281" t="s">
        <v>188</v>
      </c>
      <c r="G19" s="281" t="s">
        <v>194</v>
      </c>
      <c r="H19" s="281" t="s">
        <v>22</v>
      </c>
    </row>
    <row r="20" spans="1:11" ht="13.95" customHeight="1" x14ac:dyDescent="0.25"/>
    <row r="23" spans="1:11" ht="13.95" customHeight="1" x14ac:dyDescent="0.25"/>
    <row r="24" spans="1:11" ht="22.95" customHeight="1" x14ac:dyDescent="0.4">
      <c r="A24" s="368" t="s">
        <v>208</v>
      </c>
      <c r="B24" s="368"/>
      <c r="C24" s="368"/>
      <c r="D24" s="368"/>
      <c r="E24" s="368"/>
      <c r="F24" s="368"/>
    </row>
    <row r="25" spans="1:11" ht="19.2" customHeight="1" x14ac:dyDescent="0.3">
      <c r="A25" s="367" t="s">
        <v>48</v>
      </c>
      <c r="B25" s="367"/>
      <c r="C25" s="367"/>
      <c r="D25" s="367"/>
      <c r="I25" s="1"/>
      <c r="J25" s="1"/>
      <c r="K25" s="1"/>
    </row>
    <row r="26" spans="1:11" ht="15.6" thickBot="1" x14ac:dyDescent="0.3">
      <c r="E26" s="366"/>
      <c r="F26" s="366"/>
      <c r="G26" s="366"/>
      <c r="I26" s="1"/>
      <c r="J26" s="1"/>
      <c r="K26" s="1"/>
    </row>
    <row r="27" spans="1:11" ht="22.2" customHeight="1" thickBot="1" x14ac:dyDescent="0.45">
      <c r="A27" s="362" t="s">
        <v>49</v>
      </c>
      <c r="B27" s="390"/>
      <c r="C27" s="390"/>
      <c r="D27" s="390"/>
      <c r="E27" s="390"/>
      <c r="F27" s="391" t="s">
        <v>50</v>
      </c>
      <c r="G27" s="390"/>
      <c r="H27" s="390"/>
      <c r="I27" s="392"/>
      <c r="J27" s="1"/>
      <c r="K27" s="1"/>
    </row>
    <row r="28" spans="1:11" ht="34.950000000000003" customHeight="1" thickBot="1" x14ac:dyDescent="0.35">
      <c r="A28" s="21" t="s">
        <v>243</v>
      </c>
      <c r="B28" s="36" t="s">
        <v>51</v>
      </c>
      <c r="C28" s="114" t="s">
        <v>52</v>
      </c>
      <c r="D28" s="40" t="s">
        <v>191</v>
      </c>
      <c r="E28" s="160" t="s">
        <v>53</v>
      </c>
      <c r="F28" s="154" t="s">
        <v>54</v>
      </c>
      <c r="G28" s="110" t="s">
        <v>55</v>
      </c>
      <c r="H28" s="37" t="s">
        <v>209</v>
      </c>
      <c r="I28" s="110" t="s">
        <v>56</v>
      </c>
      <c r="J28" t="s">
        <v>57</v>
      </c>
    </row>
    <row r="29" spans="1:11" ht="18" thickBot="1" x14ac:dyDescent="0.35">
      <c r="A29" s="81" t="s">
        <v>58</v>
      </c>
      <c r="B29" s="295" t="s">
        <v>61</v>
      </c>
      <c r="C29" s="58" t="str">
        <f>VLOOKUP(Tableau11[[#This Row],[Personne enseignante]],Feuil_M!$A$3:$B$8,2,FALSE)</f>
        <v>-</v>
      </c>
      <c r="D29" s="304" t="s">
        <v>61</v>
      </c>
      <c r="E29" s="53" t="str">
        <f>VLOOKUP(Tableau11[[#This Row],[Responsable de l’encadrement]],Feuil_M!$A$3:$B$8,2,FALSE)</f>
        <v>-</v>
      </c>
      <c r="F29" s="306" t="s">
        <v>61</v>
      </c>
      <c r="G29" s="58" t="str">
        <f>VLOOKUP(Tableau11[[#This Row],[Personne enseignante2]],Feuil_M!$A$3:$B$8,2,FALSE)</f>
        <v>-</v>
      </c>
      <c r="H29" s="305" t="s">
        <v>61</v>
      </c>
      <c r="I29" s="53" t="str">
        <f>VLOOKUP(Tableau11[[#This Row],[Responsable de l’encadrement2]],Feuil_M!$A$3:$B$8,2,FALSE)</f>
        <v>-</v>
      </c>
    </row>
    <row r="30" spans="1:11" ht="18" thickBot="1" x14ac:dyDescent="0.35">
      <c r="A30" s="81" t="s">
        <v>62</v>
      </c>
      <c r="B30" s="305" t="s">
        <v>61</v>
      </c>
      <c r="C30" s="58" t="str">
        <f>VLOOKUP(Tableau11[[#This Row],[Personne enseignante]],Feuil_M!$A$3:$B$8,2,FALSE)</f>
        <v>-</v>
      </c>
      <c r="D30" s="304" t="s">
        <v>61</v>
      </c>
      <c r="E30" s="53" t="str">
        <f>VLOOKUP(Tableau11[[#This Row],[Responsable de l’encadrement]],Feuil_M!$A$3:$B$8,2,FALSE)</f>
        <v>-</v>
      </c>
      <c r="F30" s="306" t="s">
        <v>61</v>
      </c>
      <c r="G30" s="58" t="str">
        <f>VLOOKUP(Tableau11[[#This Row],[Personne enseignante2]],Feuil_M!$A$3:$B$8,2,FALSE)</f>
        <v>-</v>
      </c>
      <c r="H30" s="305" t="s">
        <v>61</v>
      </c>
      <c r="I30" s="53" t="str">
        <f>VLOOKUP(Tableau11[[#This Row],[Responsable de l’encadrement2]],Feuil_M!$A$3:$B$8,2,FALSE)</f>
        <v>-</v>
      </c>
    </row>
    <row r="31" spans="1:11" ht="18" thickBot="1" x14ac:dyDescent="0.35">
      <c r="A31" s="81" t="s">
        <v>64</v>
      </c>
      <c r="B31" s="305" t="s">
        <v>61</v>
      </c>
      <c r="C31" s="58" t="str">
        <f>VLOOKUP(Tableau11[[#This Row],[Personne enseignante]],Feuil_M!$A$3:$B$8,2,FALSE)</f>
        <v>-</v>
      </c>
      <c r="D31" s="304" t="s">
        <v>61</v>
      </c>
      <c r="E31" s="53" t="str">
        <f>VLOOKUP(Tableau11[[#This Row],[Responsable de l’encadrement]],Feuil_M!$A$3:$B$8,2,FALSE)</f>
        <v>-</v>
      </c>
      <c r="F31" s="306" t="s">
        <v>61</v>
      </c>
      <c r="G31" s="58" t="str">
        <f>VLOOKUP(Tableau11[[#This Row],[Personne enseignante2]],Feuil_M!$A$3:$B$8,2,FALSE)</f>
        <v>-</v>
      </c>
      <c r="H31" s="305" t="s">
        <v>61</v>
      </c>
      <c r="I31" s="53" t="str">
        <f>VLOOKUP(Tableau11[[#This Row],[Responsable de l’encadrement2]],Feuil_M!$A$3:$B$8,2,FALSE)</f>
        <v>-</v>
      </c>
    </row>
    <row r="32" spans="1:11" ht="18" thickBot="1" x14ac:dyDescent="0.35">
      <c r="A32" s="81" t="s">
        <v>65</v>
      </c>
      <c r="B32" s="305" t="s">
        <v>61</v>
      </c>
      <c r="C32" s="95" t="str">
        <f>VLOOKUP(Tableau11[[#This Row],[Personne enseignante]],Feuil_M!$A$3:$B$8,2,FALSE)</f>
        <v>-</v>
      </c>
      <c r="D32" s="304" t="s">
        <v>61</v>
      </c>
      <c r="E32" s="158" t="str">
        <f>VLOOKUP(Tableau11[[#This Row],[Responsable de l’encadrement]],Feuil_M!$A$3:$B$8,2,FALSE)</f>
        <v>-</v>
      </c>
      <c r="F32" s="306" t="s">
        <v>61</v>
      </c>
      <c r="G32" s="58" t="str">
        <f>VLOOKUP(Tableau11[[#This Row],[Personne enseignante2]],Feuil_M!$A$3:$B$8,2,FALSE)</f>
        <v>-</v>
      </c>
      <c r="H32" s="305" t="s">
        <v>61</v>
      </c>
      <c r="I32" s="53" t="str">
        <f>VLOOKUP(Tableau11[[#This Row],[Responsable de l’encadrement2]],Feuil_M!$A$3:$B$8,2,FALSE)</f>
        <v>-</v>
      </c>
    </row>
    <row r="33" spans="1:14" ht="18" thickBot="1" x14ac:dyDescent="0.35">
      <c r="A33" s="81" t="s">
        <v>67</v>
      </c>
      <c r="B33" s="305" t="s">
        <v>61</v>
      </c>
      <c r="C33" s="95" t="str">
        <f>VLOOKUP(Tableau11[[#This Row],[Personne enseignante]],Feuil_M!$A$3:$B$8,2,FALSE)</f>
        <v>-</v>
      </c>
      <c r="D33" s="304" t="s">
        <v>61</v>
      </c>
      <c r="E33" s="158" t="str">
        <f>VLOOKUP(Tableau11[[#This Row],[Responsable de l’encadrement]],Feuil_M!$A$3:$B$8,2,FALSE)</f>
        <v>-</v>
      </c>
      <c r="F33" s="306" t="s">
        <v>61</v>
      </c>
      <c r="G33" s="58" t="str">
        <f>VLOOKUP(Tableau11[[#This Row],[Personne enseignante2]],Feuil_M!$A$3:$B$8,2,FALSE)</f>
        <v>-</v>
      </c>
      <c r="H33" s="305" t="s">
        <v>61</v>
      </c>
      <c r="I33" s="53" t="str">
        <f>VLOOKUP(Tableau11[[#This Row],[Responsable de l’encadrement2]],Feuil_M!$A$3:$B$8,2,FALSE)</f>
        <v>-</v>
      </c>
    </row>
    <row r="34" spans="1:14" ht="18" thickBot="1" x14ac:dyDescent="0.35">
      <c r="A34" s="81" t="s">
        <v>69</v>
      </c>
      <c r="B34" s="305" t="s">
        <v>61</v>
      </c>
      <c r="C34" s="95" t="str">
        <f>VLOOKUP(Tableau11[[#This Row],[Personne enseignante]],Feuil_M!$A$3:$B$8,2,FALSE)</f>
        <v>-</v>
      </c>
      <c r="D34" s="304" t="s">
        <v>61</v>
      </c>
      <c r="E34" s="158" t="str">
        <f>VLOOKUP(Tableau11[[#This Row],[Responsable de l’encadrement]],Feuil_M!$A$3:$B$8,2,FALSE)</f>
        <v>-</v>
      </c>
      <c r="F34" s="306" t="s">
        <v>61</v>
      </c>
      <c r="G34" s="58" t="str">
        <f>VLOOKUP(Tableau11[[#This Row],[Personne enseignante2]],Feuil_M!$A$3:$B$8,2,FALSE)</f>
        <v>-</v>
      </c>
      <c r="H34" s="305" t="s">
        <v>61</v>
      </c>
      <c r="I34" s="53" t="str">
        <f>VLOOKUP(Tableau11[[#This Row],[Responsable de l’encadrement2]],Feuil_M!$A$3:$B$8,2,FALSE)</f>
        <v>-</v>
      </c>
    </row>
    <row r="35" spans="1:14" ht="18" thickBot="1" x14ac:dyDescent="0.35">
      <c r="A35" s="81" t="s">
        <v>70</v>
      </c>
      <c r="B35" s="305" t="s">
        <v>61</v>
      </c>
      <c r="C35" s="95" t="str">
        <f>VLOOKUP(Tableau11[[#This Row],[Personne enseignante]],Feuil_M!$A$3:$B$8,2,FALSE)</f>
        <v>-</v>
      </c>
      <c r="D35" s="304" t="s">
        <v>61</v>
      </c>
      <c r="E35" s="158" t="str">
        <f>VLOOKUP(Tableau11[[#This Row],[Responsable de l’encadrement]],Feuil_M!$A$3:$B$8,2,FALSE)</f>
        <v>-</v>
      </c>
      <c r="F35" s="306" t="s">
        <v>61</v>
      </c>
      <c r="G35" s="58" t="str">
        <f>VLOOKUP(Tableau11[[#This Row],[Personne enseignante2]],Feuil_M!$A$3:$B$8,2,FALSE)</f>
        <v>-</v>
      </c>
      <c r="H35" s="305" t="s">
        <v>61</v>
      </c>
      <c r="I35" s="53" t="str">
        <f>VLOOKUP(Tableau11[[#This Row],[Responsable de l’encadrement2]],Feuil_M!$A$3:$B$8,2,FALSE)</f>
        <v>-</v>
      </c>
    </row>
    <row r="36" spans="1:14" ht="18" thickBot="1" x14ac:dyDescent="0.35">
      <c r="A36" s="81" t="s">
        <v>71</v>
      </c>
      <c r="B36" s="305" t="s">
        <v>61</v>
      </c>
      <c r="C36" s="95" t="str">
        <f>VLOOKUP(Tableau11[[#This Row],[Personne enseignante]],Feuil_M!$A$3:$B$8,2,FALSE)</f>
        <v>-</v>
      </c>
      <c r="D36" s="304" t="s">
        <v>61</v>
      </c>
      <c r="E36" s="158" t="str">
        <f>VLOOKUP(Tableau11[[#This Row],[Responsable de l’encadrement]],Feuil_M!$A$3:$B$8,2,FALSE)</f>
        <v>-</v>
      </c>
      <c r="F36" s="306" t="s">
        <v>61</v>
      </c>
      <c r="G36" s="58" t="str">
        <f>VLOOKUP(Tableau11[[#This Row],[Personne enseignante2]],Feuil_M!$A$3:$B$8,2,FALSE)</f>
        <v>-</v>
      </c>
      <c r="H36" s="305" t="s">
        <v>61</v>
      </c>
      <c r="I36" s="53" t="str">
        <f>VLOOKUP(Tableau11[[#This Row],[Responsable de l’encadrement2]],Feuil_M!$A$3:$B$8,2,FALSE)</f>
        <v>-</v>
      </c>
    </row>
    <row r="37" spans="1:14" ht="18" thickBot="1" x14ac:dyDescent="0.35">
      <c r="A37" s="81" t="s">
        <v>74</v>
      </c>
      <c r="B37" s="305" t="s">
        <v>61</v>
      </c>
      <c r="C37" s="58" t="str">
        <f>VLOOKUP(Tableau11[[#This Row],[Personne enseignante]],Feuil_M!$A$3:$B$8,2,FALSE)</f>
        <v>-</v>
      </c>
      <c r="D37" s="304" t="s">
        <v>61</v>
      </c>
      <c r="E37" s="53" t="str">
        <f>VLOOKUP(Tableau11[[#This Row],[Responsable de l’encadrement]],Feuil_M!$A$3:$B$8,2,FALSE)</f>
        <v>-</v>
      </c>
      <c r="F37" s="306" t="s">
        <v>61</v>
      </c>
      <c r="G37" s="58" t="str">
        <f>VLOOKUP(Tableau11[[#This Row],[Personne enseignante2]],Feuil_M!$A$3:$B$8,2,FALSE)</f>
        <v>-</v>
      </c>
      <c r="H37" s="305" t="s">
        <v>61</v>
      </c>
      <c r="I37" s="53" t="str">
        <f>VLOOKUP(Tableau11[[#This Row],[Responsable de l’encadrement2]],Feuil_M!$A$3:$B$8,2,FALSE)</f>
        <v>-</v>
      </c>
    </row>
    <row r="38" spans="1:14" ht="18" thickBot="1" x14ac:dyDescent="0.35">
      <c r="A38" s="408"/>
      <c r="B38" s="409"/>
      <c r="C38" s="409"/>
      <c r="D38" s="55"/>
      <c r="E38" s="120"/>
      <c r="F38" s="56"/>
      <c r="G38" s="57"/>
      <c r="H38" s="57"/>
      <c r="I38" s="80"/>
    </row>
    <row r="39" spans="1:14" ht="18" thickBot="1" x14ac:dyDescent="0.35">
      <c r="A39" s="101" t="s">
        <v>211</v>
      </c>
      <c r="B39" s="54"/>
      <c r="C39" s="167" t="str">
        <f>IF(SUBTOTAL(102,Tableau11[Résultats For1])=0,"",SUBTOTAL(101,Tableau11[Résultats For1]))</f>
        <v/>
      </c>
      <c r="D39" s="99" t="s">
        <v>73</v>
      </c>
      <c r="E39" s="167" t="str">
        <f>IF(SUBTOTAL(102,Tableau11[Résultats For2])=0,"",SUBTOTAL(101,Tableau11[Résultats For2]))</f>
        <v/>
      </c>
      <c r="F39" s="54"/>
      <c r="G39" s="167" t="str">
        <f>IF(SUBTOTAL(102,Tableau11[Résultats Som1])=0,"",SUBTOTAL(101,Tableau11[Résultats Som1]))</f>
        <v/>
      </c>
      <c r="H39" s="55"/>
      <c r="I39" s="168" t="str">
        <f>IF(SUBTOTAL(102,Tableau11[Résultats Som2])=0,"",SUBTOTAL(101,Tableau11[Résultats Som2]))</f>
        <v/>
      </c>
    </row>
    <row r="41" spans="1:14" ht="6" customHeight="1" x14ac:dyDescent="0.4">
      <c r="A41" s="368"/>
      <c r="B41" s="368"/>
      <c r="C41" s="368"/>
      <c r="D41" s="368"/>
      <c r="E41" s="1"/>
      <c r="F41" s="1"/>
      <c r="G41" s="1"/>
      <c r="H41" s="1"/>
      <c r="I41" s="1"/>
      <c r="J41" s="1"/>
      <c r="K41" s="1"/>
    </row>
    <row r="42" spans="1:14" ht="49.2" customHeight="1" x14ac:dyDescent="0.3">
      <c r="A42" s="367" t="s">
        <v>241</v>
      </c>
      <c r="B42" s="367"/>
      <c r="C42" s="367"/>
      <c r="D42" s="367"/>
      <c r="E42" s="367"/>
      <c r="F42" s="367"/>
      <c r="G42" s="1"/>
      <c r="H42" s="1"/>
      <c r="I42" s="1"/>
      <c r="J42" s="1"/>
      <c r="K42" s="1"/>
    </row>
    <row r="43" spans="1:14" ht="15.6" customHeight="1" x14ac:dyDescent="0.25">
      <c r="A43" s="24"/>
      <c r="B43" s="24"/>
      <c r="C43" s="24"/>
      <c r="D43" s="24"/>
      <c r="G43" s="1"/>
      <c r="H43" s="1"/>
      <c r="I43" s="1"/>
      <c r="J43" s="1"/>
      <c r="K43" s="1"/>
    </row>
    <row r="44" spans="1:14" ht="16.2" customHeight="1" thickBot="1" x14ac:dyDescent="0.35">
      <c r="D44" s="369" t="s">
        <v>212</v>
      </c>
      <c r="E44" s="369"/>
      <c r="F44" s="369"/>
      <c r="G44" s="369"/>
      <c r="I44" s="353" t="s">
        <v>213</v>
      </c>
      <c r="J44" s="353"/>
      <c r="K44" s="353"/>
      <c r="M44" s="353" t="s">
        <v>72</v>
      </c>
      <c r="N44" s="353"/>
    </row>
    <row r="45" spans="1:14" ht="166.95" customHeight="1" thickBot="1" x14ac:dyDescent="0.3">
      <c r="D45" s="350" t="s">
        <v>214</v>
      </c>
      <c r="E45" s="351"/>
      <c r="F45" s="351"/>
      <c r="G45" s="352"/>
      <c r="I45" s="350" t="s">
        <v>214</v>
      </c>
      <c r="J45" s="351"/>
      <c r="K45" s="352"/>
      <c r="M45" s="354" t="s">
        <v>215</v>
      </c>
      <c r="N45" s="355"/>
    </row>
    <row r="46" spans="1:14" ht="13.95" customHeight="1" x14ac:dyDescent="0.25">
      <c r="D46" t="s">
        <v>216</v>
      </c>
      <c r="F46">
        <f>LEN(TRIM(D45))-LEN(SUBSTITUTE(D45," ",""))+1</f>
        <v>7</v>
      </c>
      <c r="I46" t="s">
        <v>216</v>
      </c>
      <c r="J46">
        <f>LEN(TRIM(I45))-LEN(SUBSTITUTE(I45," ",""))+1</f>
        <v>7</v>
      </c>
      <c r="K46" s="97"/>
      <c r="M46" t="s">
        <v>216</v>
      </c>
      <c r="N46">
        <f>LEN(TRIM(M45))-LEN(SUBSTITUTE(M45," ",""))+1</f>
        <v>8</v>
      </c>
    </row>
    <row r="47" spans="1:14" ht="13.95" customHeight="1" x14ac:dyDescent="0.25">
      <c r="E47" s="16"/>
      <c r="G47" s="16"/>
      <c r="K47" s="97"/>
    </row>
    <row r="48" spans="1:14" ht="16.2" customHeight="1" thickBot="1" x14ac:dyDescent="0.35">
      <c r="D48" s="353" t="s">
        <v>237</v>
      </c>
      <c r="E48" s="353"/>
      <c r="F48" s="353"/>
      <c r="G48" s="43"/>
      <c r="I48" s="353" t="s">
        <v>213</v>
      </c>
      <c r="J48" s="353"/>
      <c r="K48" s="353"/>
      <c r="M48" s="353" t="s">
        <v>72</v>
      </c>
      <c r="N48" s="353"/>
    </row>
    <row r="49" spans="4:14" ht="163.19999999999999" customHeight="1" thickBot="1" x14ac:dyDescent="0.3">
      <c r="D49" s="350" t="s">
        <v>214</v>
      </c>
      <c r="E49" s="351"/>
      <c r="F49" s="351"/>
      <c r="G49" s="352"/>
      <c r="I49" s="350" t="s">
        <v>214</v>
      </c>
      <c r="J49" s="351"/>
      <c r="K49" s="352"/>
      <c r="M49" s="354" t="s">
        <v>215</v>
      </c>
      <c r="N49" s="355"/>
    </row>
    <row r="50" spans="4:14" ht="13.95" customHeight="1" x14ac:dyDescent="0.25">
      <c r="D50" t="s">
        <v>216</v>
      </c>
      <c r="F50">
        <f>LEN(TRIM(D49))-LEN(SUBSTITUTE(D49," ",""))+1</f>
        <v>7</v>
      </c>
      <c r="I50" t="s">
        <v>216</v>
      </c>
      <c r="J50">
        <f>LEN(TRIM(I49))-LEN(SUBSTITUTE(I49," ",""))+1</f>
        <v>7</v>
      </c>
      <c r="K50" s="97"/>
      <c r="M50" t="s">
        <v>216</v>
      </c>
      <c r="N50">
        <f>LEN(TRIM(M49))-LEN(SUBSTITUTE(M49," ",""))+1</f>
        <v>8</v>
      </c>
    </row>
    <row r="51" spans="4:14" x14ac:dyDescent="0.25">
      <c r="I51" s="97"/>
      <c r="J51" s="97"/>
      <c r="K51" s="97"/>
    </row>
    <row r="52" spans="4:14" ht="16.2" customHeight="1" thickBot="1" x14ac:dyDescent="0.35">
      <c r="D52" s="353" t="s">
        <v>237</v>
      </c>
      <c r="E52" s="353"/>
      <c r="F52" s="353"/>
      <c r="G52" s="43"/>
      <c r="I52" s="353" t="s">
        <v>213</v>
      </c>
      <c r="J52" s="353"/>
      <c r="K52" s="353"/>
      <c r="M52" s="353" t="s">
        <v>72</v>
      </c>
      <c r="N52" s="353"/>
    </row>
    <row r="53" spans="4:14" ht="171" customHeight="1" thickBot="1" x14ac:dyDescent="0.3">
      <c r="D53" s="350" t="s">
        <v>214</v>
      </c>
      <c r="E53" s="351"/>
      <c r="F53" s="351"/>
      <c r="G53" s="352"/>
      <c r="I53" s="350" t="s">
        <v>214</v>
      </c>
      <c r="J53" s="351"/>
      <c r="K53" s="352"/>
      <c r="M53" s="354" t="s">
        <v>215</v>
      </c>
      <c r="N53" s="355"/>
    </row>
    <row r="54" spans="4:14" ht="11.7" customHeight="1" x14ac:dyDescent="0.25">
      <c r="D54" t="s">
        <v>216</v>
      </c>
      <c r="F54">
        <f>LEN(TRIM(D53))-LEN(SUBSTITUTE(D53," ",""))+1</f>
        <v>7</v>
      </c>
      <c r="I54" t="s">
        <v>216</v>
      </c>
      <c r="J54">
        <f>LEN(TRIM(I53))-LEN(SUBSTITUTE(I53," ",""))+1</f>
        <v>7</v>
      </c>
      <c r="K54" s="97"/>
      <c r="M54" t="s">
        <v>216</v>
      </c>
      <c r="N54">
        <f>LEN(TRIM(M53))-LEN(SUBSTITUTE(M53," ",""))+1</f>
        <v>8</v>
      </c>
    </row>
    <row r="55" spans="4:14" ht="13.2" customHeight="1" x14ac:dyDescent="0.25"/>
    <row r="56" spans="4:14" ht="16.95" customHeight="1" thickBot="1" x14ac:dyDescent="0.35">
      <c r="D56" s="353" t="s">
        <v>237</v>
      </c>
      <c r="E56" s="353"/>
      <c r="F56" s="353"/>
      <c r="G56" s="43"/>
      <c r="I56" s="353" t="s">
        <v>213</v>
      </c>
      <c r="J56" s="353"/>
      <c r="K56" s="353"/>
      <c r="M56" s="353" t="s">
        <v>72</v>
      </c>
      <c r="N56" s="353"/>
    </row>
    <row r="57" spans="4:14" ht="160.19999999999999" customHeight="1" thickBot="1" x14ac:dyDescent="0.3">
      <c r="D57" s="350" t="s">
        <v>214</v>
      </c>
      <c r="E57" s="351"/>
      <c r="F57" s="351"/>
      <c r="G57" s="352"/>
      <c r="I57" s="350" t="s">
        <v>214</v>
      </c>
      <c r="J57" s="351"/>
      <c r="K57" s="352"/>
      <c r="M57" s="354" t="s">
        <v>215</v>
      </c>
      <c r="N57" s="355"/>
    </row>
    <row r="58" spans="4:14" ht="13.95" customHeight="1" x14ac:dyDescent="0.25">
      <c r="D58" t="s">
        <v>216</v>
      </c>
      <c r="F58">
        <f>LEN(TRIM(D57))-LEN(SUBSTITUTE(D57," ",""))+1</f>
        <v>7</v>
      </c>
      <c r="I58" t="s">
        <v>216</v>
      </c>
      <c r="J58">
        <f>LEN(TRIM(I57))-LEN(SUBSTITUTE(I57," ",""))+1</f>
        <v>7</v>
      </c>
      <c r="K58" s="97"/>
      <c r="M58" t="s">
        <v>216</v>
      </c>
      <c r="N58">
        <f>LEN(TRIM(M57))-LEN(SUBSTITUTE(M57," ",""))+1</f>
        <v>8</v>
      </c>
    </row>
    <row r="60" spans="4:14" ht="16.2" thickBot="1" x14ac:dyDescent="0.35">
      <c r="D60" s="353" t="s">
        <v>237</v>
      </c>
      <c r="E60" s="353"/>
      <c r="F60" s="353"/>
      <c r="I60" s="353" t="s">
        <v>213</v>
      </c>
      <c r="J60" s="353"/>
      <c r="K60" s="353"/>
      <c r="M60" s="353" t="s">
        <v>72</v>
      </c>
      <c r="N60" s="353"/>
    </row>
    <row r="61" spans="4:14" ht="162" customHeight="1" thickBot="1" x14ac:dyDescent="0.3">
      <c r="D61" s="350" t="s">
        <v>214</v>
      </c>
      <c r="E61" s="351"/>
      <c r="F61" s="351"/>
      <c r="G61" s="352"/>
      <c r="I61" s="350" t="s">
        <v>214</v>
      </c>
      <c r="J61" s="351"/>
      <c r="K61" s="352"/>
      <c r="M61" s="354" t="s">
        <v>215</v>
      </c>
      <c r="N61" s="355"/>
    </row>
    <row r="62" spans="4:14" x14ac:dyDescent="0.25">
      <c r="D62" t="s">
        <v>216</v>
      </c>
      <c r="F62">
        <f>LEN(TRIM(D61))-LEN(SUBSTITUTE(D61," ",""))+1</f>
        <v>7</v>
      </c>
      <c r="I62" t="s">
        <v>216</v>
      </c>
      <c r="J62">
        <f>LEN(TRIM(I61))-LEN(SUBSTITUTE(I61," ",""))+1</f>
        <v>7</v>
      </c>
      <c r="M62" t="s">
        <v>216</v>
      </c>
      <c r="N62">
        <f>LEN(TRIM(M61))-LEN(SUBSTITUTE(M61," ",""))+1</f>
        <v>8</v>
      </c>
    </row>
    <row r="63" spans="4:14" x14ac:dyDescent="0.25">
      <c r="K63" s="97"/>
    </row>
    <row r="65" spans="1:14" ht="16.2" thickBot="1" x14ac:dyDescent="0.35">
      <c r="D65" s="353" t="s">
        <v>237</v>
      </c>
      <c r="E65" s="353"/>
      <c r="F65" s="353"/>
      <c r="G65" s="43"/>
      <c r="I65" s="353" t="s">
        <v>213</v>
      </c>
      <c r="J65" s="353"/>
      <c r="K65" s="353"/>
      <c r="M65" s="353" t="s">
        <v>72</v>
      </c>
      <c r="N65" s="353"/>
    </row>
    <row r="66" spans="1:14" ht="160.94999999999999" customHeight="1" thickBot="1" x14ac:dyDescent="0.3">
      <c r="D66" s="350" t="s">
        <v>214</v>
      </c>
      <c r="E66" s="351"/>
      <c r="F66" s="351"/>
      <c r="G66" s="352"/>
      <c r="I66" s="350" t="s">
        <v>214</v>
      </c>
      <c r="J66" s="351"/>
      <c r="K66" s="352"/>
      <c r="M66" s="354" t="s">
        <v>215</v>
      </c>
      <c r="N66" s="355"/>
    </row>
    <row r="67" spans="1:14" x14ac:dyDescent="0.25">
      <c r="D67" t="s">
        <v>216</v>
      </c>
      <c r="F67">
        <f>LEN(TRIM(D66))-LEN(SUBSTITUTE(D66," ",""))+1</f>
        <v>7</v>
      </c>
      <c r="I67" t="s">
        <v>216</v>
      </c>
      <c r="J67">
        <f>LEN(TRIM(I66))-LEN(SUBSTITUTE(I66," ",""))+1</f>
        <v>7</v>
      </c>
      <c r="K67" s="97"/>
      <c r="M67" t="s">
        <v>216</v>
      </c>
      <c r="N67">
        <f>LEN(TRIM(M66))-LEN(SUBSTITUTE(M66," ",""))+1</f>
        <v>8</v>
      </c>
    </row>
    <row r="69" spans="1:14" ht="16.2" thickBot="1" x14ac:dyDescent="0.35">
      <c r="D69" s="353" t="s">
        <v>237</v>
      </c>
      <c r="E69" s="353"/>
      <c r="F69" s="353"/>
      <c r="G69" s="43"/>
      <c r="I69" s="353" t="s">
        <v>213</v>
      </c>
      <c r="J69" s="353"/>
      <c r="K69" s="353"/>
      <c r="M69" s="353" t="s">
        <v>72</v>
      </c>
      <c r="N69" s="353"/>
    </row>
    <row r="70" spans="1:14" ht="176.7" customHeight="1" thickBot="1" x14ac:dyDescent="0.3">
      <c r="D70" s="350" t="s">
        <v>214</v>
      </c>
      <c r="E70" s="351"/>
      <c r="F70" s="351"/>
      <c r="G70" s="352"/>
      <c r="I70" s="350" t="s">
        <v>214</v>
      </c>
      <c r="J70" s="351"/>
      <c r="K70" s="352"/>
      <c r="M70" s="354" t="s">
        <v>215</v>
      </c>
      <c r="N70" s="355"/>
    </row>
    <row r="71" spans="1:14" x14ac:dyDescent="0.25">
      <c r="D71" t="s">
        <v>216</v>
      </c>
      <c r="F71">
        <f>LEN(TRIM(D70))-LEN(SUBSTITUTE(D70," ",""))+1</f>
        <v>7</v>
      </c>
      <c r="I71" t="s">
        <v>216</v>
      </c>
      <c r="J71">
        <f>LEN(TRIM(I70))-LEN(SUBSTITUTE(I70," ",""))+1</f>
        <v>7</v>
      </c>
      <c r="K71" s="97"/>
      <c r="M71" t="s">
        <v>216</v>
      </c>
      <c r="N71">
        <f>LEN(TRIM(M70))-LEN(SUBSTITUTE(M70," ",""))+1</f>
        <v>8</v>
      </c>
    </row>
    <row r="73" spans="1:14" ht="16.2" thickBot="1" x14ac:dyDescent="0.35">
      <c r="D73" s="353" t="s">
        <v>237</v>
      </c>
      <c r="E73" s="353"/>
      <c r="F73" s="353"/>
      <c r="G73" s="43"/>
      <c r="I73" s="353" t="s">
        <v>213</v>
      </c>
      <c r="J73" s="353"/>
      <c r="K73" s="353"/>
      <c r="M73" s="353" t="s">
        <v>72</v>
      </c>
      <c r="N73" s="353"/>
    </row>
    <row r="74" spans="1:14" ht="187.2" customHeight="1" thickBot="1" x14ac:dyDescent="0.3">
      <c r="D74" s="350" t="s">
        <v>214</v>
      </c>
      <c r="E74" s="351"/>
      <c r="F74" s="351"/>
      <c r="G74" s="352"/>
      <c r="I74" s="350" t="s">
        <v>214</v>
      </c>
      <c r="J74" s="351"/>
      <c r="K74" s="352"/>
      <c r="M74" s="354" t="s">
        <v>215</v>
      </c>
      <c r="N74" s="355"/>
    </row>
    <row r="75" spans="1:14" x14ac:dyDescent="0.25">
      <c r="D75" t="s">
        <v>216</v>
      </c>
      <c r="F75">
        <f>LEN(TRIM(D74))-LEN(SUBSTITUTE(D74," ",""))+1</f>
        <v>7</v>
      </c>
      <c r="I75" t="s">
        <v>216</v>
      </c>
      <c r="J75">
        <f>LEN(TRIM(I74))-LEN(SUBSTITUTE(I74," ",""))+1</f>
        <v>7</v>
      </c>
      <c r="K75" s="97"/>
      <c r="M75" t="s">
        <v>216</v>
      </c>
      <c r="N75">
        <f>LEN(TRIM(M74))-LEN(SUBSTITUTE(M74," ",""))+1</f>
        <v>8</v>
      </c>
    </row>
    <row r="77" spans="1:14" ht="16.2" thickBot="1" x14ac:dyDescent="0.35">
      <c r="D77" s="353" t="s">
        <v>237</v>
      </c>
      <c r="E77" s="353"/>
      <c r="F77" s="353"/>
      <c r="G77" s="43"/>
      <c r="I77" s="353" t="s">
        <v>213</v>
      </c>
      <c r="J77" s="353"/>
      <c r="K77" s="353"/>
      <c r="M77" s="353" t="s">
        <v>72</v>
      </c>
      <c r="N77" s="353"/>
    </row>
    <row r="78" spans="1:14" ht="196.95" customHeight="1" thickBot="1" x14ac:dyDescent="0.3">
      <c r="D78" s="350" t="s">
        <v>214</v>
      </c>
      <c r="E78" s="351"/>
      <c r="F78" s="351"/>
      <c r="G78" s="352"/>
      <c r="I78" s="350" t="s">
        <v>214</v>
      </c>
      <c r="J78" s="351"/>
      <c r="K78" s="352"/>
      <c r="M78" s="354" t="s">
        <v>215</v>
      </c>
      <c r="N78" s="355"/>
    </row>
    <row r="79" spans="1:14" x14ac:dyDescent="0.25">
      <c r="A79" s="173"/>
      <c r="D79" t="s">
        <v>216</v>
      </c>
      <c r="F79">
        <f>LEN(TRIM(D78))-LEN(SUBSTITUTE(D78," ",""))+1</f>
        <v>7</v>
      </c>
      <c r="I79" t="s">
        <v>216</v>
      </c>
      <c r="J79">
        <f>LEN(TRIM(I78))-LEN(SUBSTITUTE(I78," ",""))+1</f>
        <v>7</v>
      </c>
      <c r="K79" s="97"/>
      <c r="M79" t="s">
        <v>216</v>
      </c>
      <c r="N79">
        <f>LEN(TRIM(M78))-LEN(SUBSTITUTE(M78," ",""))+1</f>
        <v>8</v>
      </c>
    </row>
    <row r="81" spans="1:2" x14ac:dyDescent="0.25">
      <c r="A81" s="174"/>
    </row>
    <row r="83" spans="1:2" x14ac:dyDescent="0.25">
      <c r="A83" s="178"/>
      <c r="B83" s="177"/>
    </row>
    <row r="85" spans="1:2" x14ac:dyDescent="0.25">
      <c r="B85" s="174"/>
    </row>
  </sheetData>
  <sheetProtection algorithmName="SHA-512" hashValue="5cX2Fe1VebLmNqTFkI/bQyt/Y2xCIQdVyy5JQU+tiVWhL7dW1z+NAENKrbor1kO3xqUaj1RnalKlaaKPqTB2qw==" saltValue="JZd+UF+QsZhN02HTS794yA==" spinCount="100000" sheet="1" objects="1" scenarios="1" selectLockedCells="1"/>
  <mergeCells count="65">
    <mergeCell ref="B2:F2"/>
    <mergeCell ref="D56:F56"/>
    <mergeCell ref="I52:K52"/>
    <mergeCell ref="I56:K56"/>
    <mergeCell ref="A41:D41"/>
    <mergeCell ref="D52:F52"/>
    <mergeCell ref="I44:K44"/>
    <mergeCell ref="I48:K48"/>
    <mergeCell ref="B3:E3"/>
    <mergeCell ref="A25:D25"/>
    <mergeCell ref="E26:G26"/>
    <mergeCell ref="A38:C38"/>
    <mergeCell ref="F27:I27"/>
    <mergeCell ref="A27:E27"/>
    <mergeCell ref="A14:D14"/>
    <mergeCell ref="A24:F24"/>
    <mergeCell ref="D45:G45"/>
    <mergeCell ref="I45:K45"/>
    <mergeCell ref="M48:N48"/>
    <mergeCell ref="M44:N44"/>
    <mergeCell ref="D44:G44"/>
    <mergeCell ref="D61:G61"/>
    <mergeCell ref="I61:K61"/>
    <mergeCell ref="M61:N61"/>
    <mergeCell ref="M65:N65"/>
    <mergeCell ref="M56:N56"/>
    <mergeCell ref="D66:G66"/>
    <mergeCell ref="I66:K66"/>
    <mergeCell ref="M66:N66"/>
    <mergeCell ref="M69:N69"/>
    <mergeCell ref="D65:F65"/>
    <mergeCell ref="I65:K65"/>
    <mergeCell ref="D70:G70"/>
    <mergeCell ref="I70:K70"/>
    <mergeCell ref="M70:N70"/>
    <mergeCell ref="M73:N73"/>
    <mergeCell ref="D69:F69"/>
    <mergeCell ref="I69:K69"/>
    <mergeCell ref="D78:G78"/>
    <mergeCell ref="I78:K78"/>
    <mergeCell ref="M78:N78"/>
    <mergeCell ref="D73:F73"/>
    <mergeCell ref="I73:K73"/>
    <mergeCell ref="D77:F77"/>
    <mergeCell ref="I77:K77"/>
    <mergeCell ref="D74:G74"/>
    <mergeCell ref="I74:K74"/>
    <mergeCell ref="M74:N74"/>
    <mergeCell ref="M77:N77"/>
    <mergeCell ref="A42:F42"/>
    <mergeCell ref="D57:G57"/>
    <mergeCell ref="I57:K57"/>
    <mergeCell ref="M57:N57"/>
    <mergeCell ref="D60:F60"/>
    <mergeCell ref="I60:K60"/>
    <mergeCell ref="M60:N60"/>
    <mergeCell ref="D49:G49"/>
    <mergeCell ref="I49:K49"/>
    <mergeCell ref="M49:N49"/>
    <mergeCell ref="M52:N52"/>
    <mergeCell ref="D53:G53"/>
    <mergeCell ref="I53:K53"/>
    <mergeCell ref="M53:N53"/>
    <mergeCell ref="D48:F48"/>
    <mergeCell ref="M45:N45"/>
  </mergeCells>
  <dataValidations count="3">
    <dataValidation allowBlank="1" showInputMessage="1" showErrorMessage="1" prompt="Le titre de cette feuille de calcul figure dans cette cellule. Entrez le logo de la société dans la cellule à droite." sqref="B3:E3 C1:E1" xr:uid="{2AB8001D-122C-4280-8D18-2B828473381C}"/>
    <dataValidation type="custom" allowBlank="1" showErrorMessage="1" error="Le nombre de mots de cette zone de commentaire semble être supérieur à 150." sqref="D74 D78 D53 D57 D61 D66 D70" xr:uid="{7134A269-D438-4E58-A3FE-4109A3033E45}">
      <formula1>LEN(TRIM(D53))-LEN(SUBSTITUTE(D53," ",""))+1&lt;=150</formula1>
    </dataValidation>
    <dataValidation type="custom" allowBlank="1" showErrorMessage="1" error="Le nombre de mots de cette zone de commentaire semble être supérieur à 150" sqref="D45:G45 M78:N78 M74:N74 M70:N70 M66:N66 M61:N61 M57:N57 M53:N53 M49:N49 M45:N45 I78:K78 I74:K74 I70:K70 I66:K66 I61:K61 I57:K57 I53:K53 I49:K49 I45:K45 D49:G49" xr:uid="{213A42B5-3A97-471E-8DFF-9D1E0622D5AA}">
      <formula1>LEN(TRIM(D45))-LEN(SUBSTITUTE(D45," ",""))+1&lt;=150</formula1>
    </dataValidation>
  </dataValidations>
  <pageMargins left="0.7" right="0.7" top="0.75" bottom="0.75" header="0.3" footer="0.3"/>
  <pageSetup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B1FE93EB-BA1E-4FFF-9684-F3C2A6D082A4}">
          <x14:formula1>
            <xm:f>Feuil_M!$A$3:$A$8</xm:f>
          </x14:formula1>
          <xm:sqref>D29:D37 B29:B37 F29:F37 H29:H37</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4DBF5-9EA8-480A-AA21-3882E2F483D9}">
  <sheetPr codeName="Feuil13">
    <tabColor rgb="FFCFCECE"/>
  </sheetPr>
  <dimension ref="A1:N102"/>
  <sheetViews>
    <sheetView showGridLines="0" showRowColHeaders="0" zoomScale="65" zoomScaleNormal="65" workbookViewId="0">
      <selection activeCell="B29" sqref="B29"/>
    </sheetView>
  </sheetViews>
  <sheetFormatPr baseColWidth="10" defaultColWidth="11" defaultRowHeight="13.8" x14ac:dyDescent="0.25"/>
  <cols>
    <col min="1" max="1" width="26.69921875" customWidth="1"/>
    <col min="2" max="2" width="27.69921875" customWidth="1"/>
    <col min="3" max="3" width="43.19921875" hidden="1" customWidth="1"/>
    <col min="4" max="4" width="27.69921875" customWidth="1"/>
    <col min="5" max="5" width="27.69921875" hidden="1" customWidth="1"/>
    <col min="6" max="7" width="27.69921875" customWidth="1"/>
    <col min="8" max="8" width="32.69921875" customWidth="1"/>
    <col min="9" max="11" width="30.69921875" customWidth="1"/>
    <col min="12" max="12" width="15.69921875" customWidth="1"/>
    <col min="13" max="14" width="40.69921875" customWidth="1"/>
    <col min="17" max="17" width="15.5" customWidth="1"/>
  </cols>
  <sheetData>
    <row r="1" spans="1:8" ht="21" customHeight="1" x14ac:dyDescent="0.25">
      <c r="A1" s="9"/>
      <c r="B1" s="324"/>
      <c r="C1" s="325"/>
      <c r="D1" s="325"/>
      <c r="E1" s="325"/>
    </row>
    <row r="2" spans="1:8" ht="22.2" customHeight="1" x14ac:dyDescent="0.25">
      <c r="A2" s="9"/>
      <c r="B2" s="373" t="s">
        <v>0</v>
      </c>
      <c r="C2" s="373"/>
      <c r="D2" s="373"/>
      <c r="E2" s="373"/>
      <c r="F2" s="373"/>
    </row>
    <row r="3" spans="1:8" ht="21.45" customHeight="1" x14ac:dyDescent="0.25">
      <c r="A3" s="9"/>
    </row>
    <row r="13" spans="1:8" ht="13.95" customHeight="1" x14ac:dyDescent="0.25"/>
    <row r="14" spans="1:8" ht="22.95" customHeight="1" x14ac:dyDescent="0.4">
      <c r="A14" s="361" t="s">
        <v>193</v>
      </c>
      <c r="B14" s="314"/>
      <c r="C14" s="314"/>
      <c r="D14" s="314"/>
    </row>
    <row r="15" spans="1:8" ht="14.4" customHeight="1" thickBot="1" x14ac:dyDescent="0.3"/>
    <row r="16" spans="1:8" ht="31.95" customHeight="1" x14ac:dyDescent="0.3">
      <c r="A16" s="39" t="s">
        <v>6</v>
      </c>
      <c r="B16" s="39" t="s">
        <v>47</v>
      </c>
      <c r="C16" s="87"/>
      <c r="D16" s="39" t="s">
        <v>7</v>
      </c>
      <c r="F16" s="39" t="s">
        <v>8</v>
      </c>
      <c r="G16" s="39" t="s">
        <v>9</v>
      </c>
      <c r="H16" s="39" t="s">
        <v>10</v>
      </c>
    </row>
    <row r="17" spans="1:11" ht="31.95" customHeight="1" thickBot="1" x14ac:dyDescent="0.3">
      <c r="A17" s="47" t="s">
        <v>195</v>
      </c>
      <c r="B17" s="277" t="s">
        <v>11</v>
      </c>
      <c r="C17" s="278"/>
      <c r="D17" s="277" t="s">
        <v>12</v>
      </c>
      <c r="E17" s="276"/>
      <c r="F17" s="277" t="s">
        <v>13</v>
      </c>
      <c r="G17" s="277" t="s">
        <v>14</v>
      </c>
      <c r="H17" s="277" t="s">
        <v>15</v>
      </c>
    </row>
    <row r="18" spans="1:11" ht="31.95" customHeight="1" thickBot="1" x14ac:dyDescent="0.3">
      <c r="A18" s="47" t="s">
        <v>16</v>
      </c>
      <c r="B18" s="284" t="s">
        <v>200</v>
      </c>
      <c r="C18" s="283"/>
      <c r="D18" s="284" t="s">
        <v>201</v>
      </c>
      <c r="E18" s="276"/>
      <c r="F18" s="280" t="s">
        <v>17</v>
      </c>
      <c r="G18" s="280" t="s">
        <v>18</v>
      </c>
      <c r="H18" s="280" t="s">
        <v>19</v>
      </c>
    </row>
    <row r="19" spans="1:11" ht="31.95" customHeight="1" thickBot="1" x14ac:dyDescent="0.3">
      <c r="A19" s="88" t="s">
        <v>20</v>
      </c>
      <c r="B19" s="281" t="s">
        <v>21</v>
      </c>
      <c r="C19" s="282"/>
      <c r="D19" s="281" t="s">
        <v>187</v>
      </c>
      <c r="E19" s="276"/>
      <c r="F19" s="281" t="s">
        <v>188</v>
      </c>
      <c r="G19" s="281" t="s">
        <v>194</v>
      </c>
      <c r="H19" s="281" t="s">
        <v>22</v>
      </c>
    </row>
    <row r="20" spans="1:11" ht="13.95" customHeight="1" x14ac:dyDescent="0.25"/>
    <row r="23" spans="1:11" ht="13.95" customHeight="1" x14ac:dyDescent="0.25"/>
    <row r="24" spans="1:11" ht="22.95" customHeight="1" x14ac:dyDescent="0.4">
      <c r="A24" s="368" t="s">
        <v>208</v>
      </c>
      <c r="B24" s="368"/>
      <c r="C24" s="368"/>
      <c r="D24" s="368"/>
      <c r="E24" s="368"/>
      <c r="F24" s="368"/>
      <c r="G24" s="2"/>
      <c r="I24" s="1"/>
      <c r="J24" s="1"/>
      <c r="K24" s="1"/>
    </row>
    <row r="25" spans="1:11" ht="19.2" customHeight="1" x14ac:dyDescent="0.3">
      <c r="A25" s="367" t="s">
        <v>48</v>
      </c>
      <c r="B25" s="367"/>
      <c r="C25" s="367"/>
      <c r="D25" s="367"/>
      <c r="I25" s="1"/>
      <c r="J25" s="1"/>
      <c r="K25" s="1"/>
    </row>
    <row r="26" spans="1:11" ht="15.6" thickBot="1" x14ac:dyDescent="0.3">
      <c r="E26" s="366"/>
      <c r="F26" s="366"/>
      <c r="G26" s="366"/>
      <c r="I26" s="1"/>
      <c r="J26" s="1"/>
      <c r="K26" s="1"/>
    </row>
    <row r="27" spans="1:11" ht="22.2" customHeight="1" thickBot="1" x14ac:dyDescent="0.45">
      <c r="A27" s="362" t="s">
        <v>49</v>
      </c>
      <c r="B27" s="390"/>
      <c r="C27" s="390"/>
      <c r="D27" s="390"/>
      <c r="E27" s="390"/>
      <c r="F27" s="391" t="s">
        <v>50</v>
      </c>
      <c r="G27" s="390"/>
      <c r="H27" s="390"/>
      <c r="I27" s="392"/>
      <c r="J27" s="1"/>
      <c r="K27" s="1"/>
    </row>
    <row r="28" spans="1:11" ht="34.950000000000003" customHeight="1" thickBot="1" x14ac:dyDescent="0.35">
      <c r="A28" s="22" t="s">
        <v>245</v>
      </c>
      <c r="B28" s="36" t="s">
        <v>51</v>
      </c>
      <c r="C28" s="114" t="s">
        <v>52</v>
      </c>
      <c r="D28" s="122" t="s">
        <v>191</v>
      </c>
      <c r="E28" s="160" t="s">
        <v>53</v>
      </c>
      <c r="F28" s="154" t="s">
        <v>54</v>
      </c>
      <c r="G28" s="110" t="s">
        <v>55</v>
      </c>
      <c r="H28" s="37" t="s">
        <v>209</v>
      </c>
      <c r="I28" s="110" t="s">
        <v>56</v>
      </c>
      <c r="J28" t="s">
        <v>57</v>
      </c>
    </row>
    <row r="29" spans="1:11" ht="18" thickBot="1" x14ac:dyDescent="0.35">
      <c r="A29" s="82" t="s">
        <v>58</v>
      </c>
      <c r="B29" s="295" t="s">
        <v>61</v>
      </c>
      <c r="C29" s="49" t="str">
        <f>VLOOKUP(Tableau12[[#This Row],[Personne enseignante]],Feuil_M!$A$3:$B$8,2,FALSE)</f>
        <v>-</v>
      </c>
      <c r="D29" s="300" t="s">
        <v>61</v>
      </c>
      <c r="E29" s="50" t="str">
        <f>VLOOKUP(Tableau12[[#This Row],[Responsable de l’encadrement]],Feuil_M!$A$3:$B$8,2,FALSE)</f>
        <v>-</v>
      </c>
      <c r="F29" s="303" t="s">
        <v>61</v>
      </c>
      <c r="G29" s="49" t="str">
        <f>VLOOKUP(Tableau12[[#This Row],[Personne enseignante2]],Feuil_M!$A$3:$B$8,2,FALSE)</f>
        <v>-</v>
      </c>
      <c r="H29" s="295" t="s">
        <v>61</v>
      </c>
      <c r="I29" s="50" t="str">
        <f>VLOOKUP(Tableau12[[#This Row],[Responsable de l’encadrement2]],Feuil_M!$A$3:$B$8,2,FALSE)</f>
        <v>-</v>
      </c>
    </row>
    <row r="30" spans="1:11" ht="18" thickBot="1" x14ac:dyDescent="0.35">
      <c r="A30" s="82" t="s">
        <v>62</v>
      </c>
      <c r="B30" s="295" t="s">
        <v>61</v>
      </c>
      <c r="C30" s="49" t="str">
        <f>VLOOKUP(Tableau12[[#This Row],[Personne enseignante]],Feuil_M!$A$3:$B$8,2,FALSE)</f>
        <v>-</v>
      </c>
      <c r="D30" s="300" t="s">
        <v>61</v>
      </c>
      <c r="E30" s="50" t="str">
        <f>VLOOKUP(Tableau12[[#This Row],[Responsable de l’encadrement]],Feuil_M!$A$3:$B$8,2,FALSE)</f>
        <v>-</v>
      </c>
      <c r="F30" s="303" t="s">
        <v>61</v>
      </c>
      <c r="G30" s="49" t="str">
        <f>VLOOKUP(Tableau12[[#This Row],[Personne enseignante2]],Feuil_M!$A$3:$B$8,2,FALSE)</f>
        <v>-</v>
      </c>
      <c r="H30" s="295" t="s">
        <v>61</v>
      </c>
      <c r="I30" s="50" t="str">
        <f>VLOOKUP(Tableau12[[#This Row],[Responsable de l’encadrement2]],Feuil_M!$A$3:$B$8,2,FALSE)</f>
        <v>-</v>
      </c>
    </row>
    <row r="31" spans="1:11" ht="18" thickBot="1" x14ac:dyDescent="0.35">
      <c r="A31" s="82" t="s">
        <v>64</v>
      </c>
      <c r="B31" s="295" t="s">
        <v>61</v>
      </c>
      <c r="C31" s="49" t="str">
        <f>VLOOKUP(Tableau12[[#This Row],[Personne enseignante]],Feuil_M!$A$3:$B$8,2,FALSE)</f>
        <v>-</v>
      </c>
      <c r="D31" s="300" t="s">
        <v>61</v>
      </c>
      <c r="E31" s="50" t="str">
        <f>VLOOKUP(Tableau12[[#This Row],[Responsable de l’encadrement]],Feuil_M!$A$3:$B$8,2,FALSE)</f>
        <v>-</v>
      </c>
      <c r="F31" s="303" t="s">
        <v>61</v>
      </c>
      <c r="G31" s="49" t="str">
        <f>VLOOKUP(Tableau12[[#This Row],[Personne enseignante2]],Feuil_M!$A$3:$B$8,2,FALSE)</f>
        <v>-</v>
      </c>
      <c r="H31" s="295" t="s">
        <v>61</v>
      </c>
      <c r="I31" s="50" t="str">
        <f>VLOOKUP(Tableau12[[#This Row],[Responsable de l’encadrement2]],Feuil_M!$A$3:$B$8,2,FALSE)</f>
        <v>-</v>
      </c>
    </row>
    <row r="32" spans="1:11" ht="18" thickBot="1" x14ac:dyDescent="0.35">
      <c r="A32" s="82" t="s">
        <v>65</v>
      </c>
      <c r="B32" s="295" t="s">
        <v>61</v>
      </c>
      <c r="C32" s="49" t="str">
        <f>VLOOKUP(Tableau12[[#This Row],[Personne enseignante]],Feuil_M!$A$3:$B$8,2,FALSE)</f>
        <v>-</v>
      </c>
      <c r="D32" s="300" t="s">
        <v>61</v>
      </c>
      <c r="E32" s="50" t="str">
        <f>VLOOKUP(Tableau12[[#This Row],[Responsable de l’encadrement]],Feuil_M!$A$3:$B$8,2,FALSE)</f>
        <v>-</v>
      </c>
      <c r="F32" s="303" t="s">
        <v>61</v>
      </c>
      <c r="G32" s="49" t="str">
        <f>VLOOKUP(Tableau12[[#This Row],[Personne enseignante2]],Feuil_M!$A$3:$B$8,2,FALSE)</f>
        <v>-</v>
      </c>
      <c r="H32" s="295" t="s">
        <v>61</v>
      </c>
      <c r="I32" s="50" t="str">
        <f>VLOOKUP(Tableau12[[#This Row],[Responsable de l’encadrement2]],Feuil_M!$A$3:$B$8,2,FALSE)</f>
        <v>-</v>
      </c>
    </row>
    <row r="33" spans="1:14" ht="18" thickBot="1" x14ac:dyDescent="0.35">
      <c r="A33" s="82" t="s">
        <v>67</v>
      </c>
      <c r="B33" s="295" t="s">
        <v>61</v>
      </c>
      <c r="C33" s="49" t="str">
        <f>VLOOKUP(Tableau12[[#This Row],[Personne enseignante]],Feuil_M!$A$3:$B$8,2,FALSE)</f>
        <v>-</v>
      </c>
      <c r="D33" s="300" t="s">
        <v>61</v>
      </c>
      <c r="E33" s="50" t="str">
        <f>VLOOKUP(Tableau12[[#This Row],[Responsable de l’encadrement]],Feuil_M!$A$3:$B$8,2,FALSE)</f>
        <v>-</v>
      </c>
      <c r="F33" s="303" t="s">
        <v>61</v>
      </c>
      <c r="G33" s="49" t="str">
        <f>VLOOKUP(Tableau12[[#This Row],[Personne enseignante2]],Feuil_M!$A$3:$B$8,2,FALSE)</f>
        <v>-</v>
      </c>
      <c r="H33" s="295" t="s">
        <v>61</v>
      </c>
      <c r="I33" s="50" t="str">
        <f>VLOOKUP(Tableau12[[#This Row],[Responsable de l’encadrement2]],Feuil_M!$A$3:$B$8,2,FALSE)</f>
        <v>-</v>
      </c>
    </row>
    <row r="34" spans="1:14" ht="18" thickBot="1" x14ac:dyDescent="0.35">
      <c r="A34" s="82" t="s">
        <v>69</v>
      </c>
      <c r="B34" s="295" t="s">
        <v>61</v>
      </c>
      <c r="C34" s="72" t="str">
        <f>VLOOKUP(Tableau12[[#This Row],[Personne enseignante]],Feuil_M!$A$3:$B$8,2,FALSE)</f>
        <v>-</v>
      </c>
      <c r="D34" s="300" t="s">
        <v>61</v>
      </c>
      <c r="E34" s="161" t="str">
        <f>VLOOKUP(Tableau12[[#This Row],[Responsable de l’encadrement]],Feuil_M!$A$3:$B$8,2,FALSE)</f>
        <v>-</v>
      </c>
      <c r="F34" s="303" t="s">
        <v>61</v>
      </c>
      <c r="G34" s="49" t="str">
        <f>VLOOKUP(Tableau12[[#This Row],[Personne enseignante2]],Feuil_M!$A$3:$B$8,2,FALSE)</f>
        <v>-</v>
      </c>
      <c r="H34" s="295" t="s">
        <v>61</v>
      </c>
      <c r="I34" s="50" t="str">
        <f>VLOOKUP(Tableau12[[#This Row],[Responsable de l’encadrement2]],Feuil_M!$A$3:$B$8,2,FALSE)</f>
        <v>-</v>
      </c>
    </row>
    <row r="35" spans="1:14" ht="18" thickBot="1" x14ac:dyDescent="0.35">
      <c r="A35" s="82" t="s">
        <v>70</v>
      </c>
      <c r="B35" s="295" t="s">
        <v>61</v>
      </c>
      <c r="C35" s="49" t="str">
        <f>VLOOKUP(Tableau12[[#This Row],[Personne enseignante]],Feuil_M!$A$3:$B$8,2,FALSE)</f>
        <v>-</v>
      </c>
      <c r="D35" s="300" t="s">
        <v>61</v>
      </c>
      <c r="E35" s="50" t="str">
        <f>VLOOKUP(Tableau12[[#This Row],[Responsable de l’encadrement]],Feuil_M!$A$3:$B$8,2,FALSE)</f>
        <v>-</v>
      </c>
      <c r="F35" s="303" t="s">
        <v>61</v>
      </c>
      <c r="G35" s="49" t="str">
        <f>VLOOKUP(Tableau12[[#This Row],[Personne enseignante2]],Feuil_M!$A$3:$B$8,2,FALSE)</f>
        <v>-</v>
      </c>
      <c r="H35" s="295" t="s">
        <v>61</v>
      </c>
      <c r="I35" s="50" t="str">
        <f>VLOOKUP(Tableau12[[#This Row],[Responsable de l’encadrement2]],Feuil_M!$A$3:$B$8,2,FALSE)</f>
        <v>-</v>
      </c>
    </row>
    <row r="36" spans="1:14" ht="18" thickBot="1" x14ac:dyDescent="0.35">
      <c r="A36" s="82" t="s">
        <v>71</v>
      </c>
      <c r="B36" s="295" t="s">
        <v>61</v>
      </c>
      <c r="C36" s="72" t="str">
        <f>VLOOKUP(Tableau12[[#This Row],[Personne enseignante]],Feuil_M!$A$3:$B$8,2,FALSE)</f>
        <v>-</v>
      </c>
      <c r="D36" s="300" t="s">
        <v>61</v>
      </c>
      <c r="E36" s="161" t="str">
        <f>VLOOKUP(Tableau12[[#This Row],[Responsable de l’encadrement]],Feuil_M!$A$3:$B$8,2,FALSE)</f>
        <v>-</v>
      </c>
      <c r="F36" s="303" t="s">
        <v>61</v>
      </c>
      <c r="G36" s="49" t="str">
        <f>VLOOKUP(Tableau12[[#This Row],[Personne enseignante2]],Feuil_M!$A$3:$B$8,2,FALSE)</f>
        <v>-</v>
      </c>
      <c r="H36" s="295" t="s">
        <v>61</v>
      </c>
      <c r="I36" s="50" t="str">
        <f>VLOOKUP(Tableau12[[#This Row],[Responsable de l’encadrement2]],Feuil_M!$A$3:$B$8,2,FALSE)</f>
        <v>-</v>
      </c>
    </row>
    <row r="37" spans="1:14" ht="18" thickBot="1" x14ac:dyDescent="0.35">
      <c r="A37" s="82" t="s">
        <v>74</v>
      </c>
      <c r="B37" s="295" t="s">
        <v>61</v>
      </c>
      <c r="C37" s="72" t="str">
        <f>VLOOKUP(Tableau12[[#This Row],[Personne enseignante]],Feuil_M!$A$3:$B$8,2,FALSE)</f>
        <v>-</v>
      </c>
      <c r="D37" s="300" t="s">
        <v>61</v>
      </c>
      <c r="E37" s="161" t="str">
        <f>VLOOKUP(Tableau12[[#This Row],[Responsable de l’encadrement]],Feuil_M!$A$3:$B$8,2,FALSE)</f>
        <v>-</v>
      </c>
      <c r="F37" s="303" t="s">
        <v>61</v>
      </c>
      <c r="G37" s="49" t="str">
        <f>VLOOKUP(Tableau12[[#This Row],[Personne enseignante2]],Feuil_M!$A$3:$B$8,2,FALSE)</f>
        <v>-</v>
      </c>
      <c r="H37" s="295" t="s">
        <v>61</v>
      </c>
      <c r="I37" s="50" t="str">
        <f>VLOOKUP(Tableau12[[#This Row],[Responsable de l’encadrement2]],Feuil_M!$A$3:$B$8,2,FALSE)</f>
        <v>-</v>
      </c>
    </row>
    <row r="38" spans="1:14" ht="18" thickBot="1" x14ac:dyDescent="0.35">
      <c r="A38" s="82" t="s">
        <v>75</v>
      </c>
      <c r="B38" s="295" t="s">
        <v>61</v>
      </c>
      <c r="C38" s="72" t="str">
        <f>VLOOKUP(Tableau12[[#This Row],[Personne enseignante]],Feuil_M!$A$3:$B$8,2,FALSE)</f>
        <v>-</v>
      </c>
      <c r="D38" s="300" t="s">
        <v>61</v>
      </c>
      <c r="E38" s="161" t="str">
        <f>VLOOKUP(Tableau12[[#This Row],[Responsable de l’encadrement]],Feuil_M!$A$3:$B$8,2,FALSE)</f>
        <v>-</v>
      </c>
      <c r="F38" s="303" t="s">
        <v>61</v>
      </c>
      <c r="G38" s="49" t="str">
        <f>VLOOKUP(Tableau12[[#This Row],[Personne enseignante2]],Feuil_M!$A$3:$B$8,2,FALSE)</f>
        <v>-</v>
      </c>
      <c r="H38" s="295" t="s">
        <v>61</v>
      </c>
      <c r="I38" s="50" t="str">
        <f>VLOOKUP(Tableau12[[#This Row],[Responsable de l’encadrement2]],Feuil_M!$A$3:$B$8,2,FALSE)</f>
        <v>-</v>
      </c>
    </row>
    <row r="39" spans="1:14" ht="18" thickBot="1" x14ac:dyDescent="0.35">
      <c r="A39" s="82" t="s">
        <v>80</v>
      </c>
      <c r="B39" s="295" t="s">
        <v>61</v>
      </c>
      <c r="C39" s="72" t="str">
        <f>VLOOKUP(Tableau12[[#This Row],[Personne enseignante]],Feuil_M!$A$3:$B$8,2,FALSE)</f>
        <v>-</v>
      </c>
      <c r="D39" s="300" t="s">
        <v>61</v>
      </c>
      <c r="E39" s="161" t="str">
        <f>VLOOKUP(Tableau12[[#This Row],[Responsable de l’encadrement]],Feuil_M!$A$3:$B$8,2,FALSE)</f>
        <v>-</v>
      </c>
      <c r="F39" s="303" t="s">
        <v>61</v>
      </c>
      <c r="G39" s="49" t="str">
        <f>VLOOKUP(Tableau12[[#This Row],[Personne enseignante2]],Feuil_M!$A$3:$B$8,2,FALSE)</f>
        <v>-</v>
      </c>
      <c r="H39" s="295" t="s">
        <v>61</v>
      </c>
      <c r="I39" s="50" t="str">
        <f>VLOOKUP(Tableau12[[#This Row],[Responsable de l’encadrement2]],Feuil_M!$A$3:$B$8,2,FALSE)</f>
        <v>-</v>
      </c>
    </row>
    <row r="40" spans="1:14" ht="18" thickBot="1" x14ac:dyDescent="0.35">
      <c r="A40" s="82" t="s">
        <v>81</v>
      </c>
      <c r="B40" s="295" t="s">
        <v>61</v>
      </c>
      <c r="C40" s="49" t="str">
        <f>VLOOKUP(Tableau12[[#This Row],[Personne enseignante]],Feuil_M!$A$3:$B$8,2,FALSE)</f>
        <v>-</v>
      </c>
      <c r="D40" s="300" t="s">
        <v>61</v>
      </c>
      <c r="E40" s="50" t="str">
        <f>VLOOKUP(Tableau12[[#This Row],[Responsable de l’encadrement]],Feuil_M!$A$3:$B$8,2,FALSE)</f>
        <v>-</v>
      </c>
      <c r="F40" s="303" t="s">
        <v>61</v>
      </c>
      <c r="G40" s="49" t="str">
        <f>VLOOKUP(Tableau12[[#This Row],[Personne enseignante2]],Feuil_M!$A$3:$B$8,2,FALSE)</f>
        <v>-</v>
      </c>
      <c r="H40" s="295" t="s">
        <v>61</v>
      </c>
      <c r="I40" s="50" t="str">
        <f>VLOOKUP(Tableau12[[#This Row],[Responsable de l’encadrement2]],Feuil_M!$A$3:$B$8,2,FALSE)</f>
        <v>-</v>
      </c>
    </row>
    <row r="41" spans="1:14" ht="17.7" customHeight="1" thickBot="1" x14ac:dyDescent="0.35">
      <c r="A41" s="363"/>
      <c r="B41" s="364"/>
      <c r="C41" s="364"/>
      <c r="D41" s="51"/>
      <c r="E41" s="118"/>
      <c r="F41" s="12"/>
      <c r="G41" s="4"/>
      <c r="H41" s="4"/>
      <c r="I41" s="17"/>
    </row>
    <row r="42" spans="1:14" ht="23.7" customHeight="1" thickBot="1" x14ac:dyDescent="0.35">
      <c r="A42" s="101" t="s">
        <v>211</v>
      </c>
      <c r="B42" s="54"/>
      <c r="C42" s="167" t="str">
        <f>IF(SUBTOTAL(102,Tableau12[Résultats For1])=0,"",SUBTOTAL(101,Tableau12[Résultats For1]))</f>
        <v/>
      </c>
      <c r="D42" s="67" t="s">
        <v>82</v>
      </c>
      <c r="E42" s="167" t="str">
        <f>IF(SUBTOTAL(102,Tableau12[Résultats For2])=0,"",SUBTOTAL(101,Tableau12[Résultats For2]))</f>
        <v/>
      </c>
      <c r="F42" s="52"/>
      <c r="G42" s="164" t="str">
        <f>IF(SUBTOTAL(102,Tableau12[Résultats Som1])=0,"",SUBTOTAL(101,Tableau12[Résultats Som1]))</f>
        <v/>
      </c>
      <c r="H42" s="51"/>
      <c r="I42" s="165" t="str">
        <f>IF(SUBTOTAL(102,Tableau12[Résultats Som2])=0,"",SUBTOTAL(101,Tableau12[Résultats Som2]))</f>
        <v/>
      </c>
    </row>
    <row r="43" spans="1:14" ht="24" customHeight="1" x14ac:dyDescent="0.4">
      <c r="A43" s="368"/>
      <c r="B43" s="368"/>
      <c r="C43" s="368"/>
      <c r="D43" s="368"/>
      <c r="E43" s="368"/>
      <c r="F43" s="1"/>
      <c r="G43" s="1"/>
      <c r="H43" s="1"/>
      <c r="I43" s="1"/>
      <c r="J43" s="1"/>
      <c r="K43" s="1"/>
    </row>
    <row r="44" spans="1:14" ht="52.95" customHeight="1" x14ac:dyDescent="0.25">
      <c r="A44" s="385" t="s">
        <v>244</v>
      </c>
      <c r="B44" s="385"/>
      <c r="C44" s="385"/>
      <c r="D44" s="385"/>
      <c r="E44" s="385"/>
      <c r="F44" s="385"/>
      <c r="G44" s="1"/>
      <c r="H44" s="1"/>
      <c r="I44" s="1"/>
      <c r="J44" s="1"/>
      <c r="K44" s="1"/>
    </row>
    <row r="45" spans="1:14" ht="18" customHeight="1" x14ac:dyDescent="0.25">
      <c r="A45" s="162"/>
      <c r="B45" s="162"/>
      <c r="C45" s="162"/>
      <c r="D45" s="162"/>
      <c r="E45" s="162"/>
      <c r="G45" s="1"/>
      <c r="H45" s="1"/>
      <c r="I45" s="1"/>
      <c r="J45" s="1"/>
      <c r="K45" s="1"/>
    </row>
    <row r="46" spans="1:14" ht="29.7" customHeight="1" thickBot="1" x14ac:dyDescent="0.35">
      <c r="D46" s="369" t="s">
        <v>212</v>
      </c>
      <c r="E46" s="369"/>
      <c r="F46" s="369"/>
      <c r="G46" s="369"/>
      <c r="I46" s="353" t="s">
        <v>213</v>
      </c>
      <c r="J46" s="353"/>
      <c r="L46" s="43"/>
      <c r="M46" s="103" t="s">
        <v>72</v>
      </c>
      <c r="N46" s="103"/>
    </row>
    <row r="47" spans="1:14" ht="145.19999999999999" customHeight="1" thickBot="1" x14ac:dyDescent="0.3">
      <c r="D47" s="350" t="s">
        <v>214</v>
      </c>
      <c r="E47" s="351"/>
      <c r="F47" s="351"/>
      <c r="G47" s="352"/>
      <c r="I47" s="350" t="s">
        <v>214</v>
      </c>
      <c r="J47" s="351"/>
      <c r="K47" s="352"/>
      <c r="L47" s="44"/>
      <c r="M47" s="354" t="s">
        <v>215</v>
      </c>
      <c r="N47" s="355"/>
    </row>
    <row r="48" spans="1:14" ht="17.7" customHeight="1" x14ac:dyDescent="0.25">
      <c r="D48" t="s">
        <v>216</v>
      </c>
      <c r="F48">
        <f>LEN(TRIM(D47))-LEN(SUBSTITUTE(D47," ",""))+1</f>
        <v>7</v>
      </c>
      <c r="I48" t="s">
        <v>216</v>
      </c>
      <c r="J48">
        <f>LEN(TRIM(I47))-LEN(SUBSTITUTE(I47," ",""))+1</f>
        <v>7</v>
      </c>
      <c r="M48" s="42" t="s">
        <v>216</v>
      </c>
      <c r="N48">
        <f>LEN(TRIM(M47))-LEN(SUBSTITUTE(M47," ",""))+1</f>
        <v>8</v>
      </c>
    </row>
    <row r="49" spans="4:14" x14ac:dyDescent="0.25">
      <c r="E49" s="16"/>
      <c r="G49" s="16"/>
      <c r="J49" s="1"/>
    </row>
    <row r="50" spans="4:14" ht="15.45" customHeight="1" thickBot="1" x14ac:dyDescent="0.35">
      <c r="D50" s="369" t="s">
        <v>212</v>
      </c>
      <c r="E50" s="369"/>
      <c r="F50" s="369"/>
      <c r="G50" s="369"/>
      <c r="I50" s="353" t="s">
        <v>213</v>
      </c>
      <c r="J50" s="353"/>
      <c r="K50" s="353"/>
      <c r="L50" s="43"/>
      <c r="M50" s="103" t="s">
        <v>72</v>
      </c>
      <c r="N50" s="103"/>
    </row>
    <row r="51" spans="4:14" ht="151.94999999999999" customHeight="1" thickBot="1" x14ac:dyDescent="0.3">
      <c r="D51" s="350" t="s">
        <v>214</v>
      </c>
      <c r="E51" s="351"/>
      <c r="F51" s="351"/>
      <c r="G51" s="352"/>
      <c r="I51" s="350" t="s">
        <v>214</v>
      </c>
      <c r="J51" s="351"/>
      <c r="K51" s="352"/>
      <c r="L51" s="44"/>
      <c r="M51" s="354" t="s">
        <v>215</v>
      </c>
      <c r="N51" s="355"/>
    </row>
    <row r="52" spans="4:14" ht="19.95" customHeight="1" x14ac:dyDescent="0.25">
      <c r="D52" t="s">
        <v>216</v>
      </c>
      <c r="F52">
        <f>LEN(TRIM(D51))-LEN(SUBSTITUTE(D51," ",""))+1</f>
        <v>7</v>
      </c>
      <c r="I52" t="s">
        <v>216</v>
      </c>
      <c r="J52">
        <f>LEN(TRIM(I51))-LEN(SUBSTITUTE(I51," ",""))+1</f>
        <v>7</v>
      </c>
      <c r="M52" s="42" t="s">
        <v>216</v>
      </c>
      <c r="N52">
        <f>LEN(TRIM(M51))-LEN(SUBSTITUTE(M51," ",""))+1</f>
        <v>8</v>
      </c>
    </row>
    <row r="54" spans="4:14" ht="13.95" customHeight="1" thickBot="1" x14ac:dyDescent="0.35">
      <c r="D54" s="353" t="s">
        <v>212</v>
      </c>
      <c r="E54" s="353"/>
      <c r="F54" s="353"/>
      <c r="G54" s="353"/>
      <c r="I54" s="353" t="s">
        <v>213</v>
      </c>
      <c r="J54" s="353"/>
      <c r="K54" s="353"/>
      <c r="L54" s="43"/>
      <c r="M54" s="103" t="s">
        <v>72</v>
      </c>
      <c r="N54" s="103"/>
    </row>
    <row r="55" spans="4:14" ht="145.19999999999999" customHeight="1" thickBot="1" x14ac:dyDescent="0.3">
      <c r="D55" s="350" t="s">
        <v>214</v>
      </c>
      <c r="E55" s="351"/>
      <c r="F55" s="351"/>
      <c r="G55" s="352"/>
      <c r="I55" s="350" t="s">
        <v>214</v>
      </c>
      <c r="J55" s="351"/>
      <c r="K55" s="352"/>
      <c r="L55" s="44"/>
      <c r="M55" s="354" t="s">
        <v>215</v>
      </c>
      <c r="N55" s="355"/>
    </row>
    <row r="56" spans="4:14" ht="21" customHeight="1" x14ac:dyDescent="0.25">
      <c r="D56" t="s">
        <v>216</v>
      </c>
      <c r="F56">
        <f>LEN(TRIM(D55))-LEN(SUBSTITUTE(D55," ",""))+1</f>
        <v>7</v>
      </c>
      <c r="I56" t="s">
        <v>216</v>
      </c>
      <c r="J56">
        <f>LEN(TRIM(I55))-LEN(SUBSTITUTE(I55," ",""))+1</f>
        <v>7</v>
      </c>
      <c r="M56" s="42" t="s">
        <v>216</v>
      </c>
      <c r="N56">
        <f>LEN(TRIM(M55))-LEN(SUBSTITUTE(M55," ",""))+1</f>
        <v>8</v>
      </c>
    </row>
    <row r="57" spans="4:14" x14ac:dyDescent="0.25">
      <c r="E57" s="16"/>
      <c r="G57" s="16"/>
    </row>
    <row r="58" spans="4:14" ht="16.2" customHeight="1" thickBot="1" x14ac:dyDescent="0.35">
      <c r="D58" s="353" t="s">
        <v>212</v>
      </c>
      <c r="E58" s="353"/>
      <c r="F58" s="353"/>
      <c r="G58" s="353"/>
      <c r="I58" s="353" t="s">
        <v>213</v>
      </c>
      <c r="J58" s="353"/>
      <c r="K58" s="353"/>
      <c r="L58" s="43"/>
      <c r="M58" s="103" t="s">
        <v>72</v>
      </c>
      <c r="N58" s="103"/>
    </row>
    <row r="59" spans="4:14" ht="144.44999999999999" customHeight="1" thickBot="1" x14ac:dyDescent="0.3">
      <c r="D59" s="350" t="s">
        <v>214</v>
      </c>
      <c r="E59" s="351"/>
      <c r="F59" s="351"/>
      <c r="G59" s="352"/>
      <c r="I59" s="350" t="s">
        <v>214</v>
      </c>
      <c r="J59" s="351"/>
      <c r="K59" s="352"/>
      <c r="L59" s="44"/>
      <c r="M59" s="354" t="s">
        <v>215</v>
      </c>
      <c r="N59" s="355"/>
    </row>
    <row r="60" spans="4:14" ht="19.95" customHeight="1" x14ac:dyDescent="0.25">
      <c r="D60" t="s">
        <v>216</v>
      </c>
      <c r="F60">
        <f>LEN(TRIM(D59))-LEN(SUBSTITUTE(D59," ",""))+1</f>
        <v>7</v>
      </c>
      <c r="I60" t="s">
        <v>216</v>
      </c>
      <c r="J60">
        <f>LEN(TRIM(I59))-LEN(SUBSTITUTE(I59," ",""))+1</f>
        <v>7</v>
      </c>
      <c r="M60" s="42" t="s">
        <v>216</v>
      </c>
      <c r="N60">
        <f>LEN(TRIM(M59))-LEN(SUBSTITUTE(M59," ",""))+1</f>
        <v>8</v>
      </c>
    </row>
    <row r="62" spans="4:14" ht="16.2" customHeight="1" thickBot="1" x14ac:dyDescent="0.35">
      <c r="D62" s="353" t="s">
        <v>212</v>
      </c>
      <c r="E62" s="353"/>
      <c r="F62" s="353"/>
      <c r="G62" s="353"/>
      <c r="I62" s="353" t="s">
        <v>213</v>
      </c>
      <c r="J62" s="353"/>
      <c r="K62" s="353"/>
      <c r="L62" s="43"/>
      <c r="M62" s="103" t="s">
        <v>72</v>
      </c>
      <c r="N62" s="103"/>
    </row>
    <row r="63" spans="4:14" ht="134.69999999999999" customHeight="1" thickBot="1" x14ac:dyDescent="0.3">
      <c r="D63" s="350" t="s">
        <v>214</v>
      </c>
      <c r="E63" s="351"/>
      <c r="F63" s="351"/>
      <c r="G63" s="352"/>
      <c r="I63" s="350" t="s">
        <v>214</v>
      </c>
      <c r="J63" s="351"/>
      <c r="K63" s="352"/>
      <c r="L63" s="44"/>
      <c r="M63" s="354" t="s">
        <v>215</v>
      </c>
      <c r="N63" s="355"/>
    </row>
    <row r="64" spans="4:14" ht="17.7" customHeight="1" x14ac:dyDescent="0.25">
      <c r="D64" t="s">
        <v>216</v>
      </c>
      <c r="F64">
        <f>LEN(TRIM(D63))-LEN(SUBSTITUTE(D63," ",""))+1</f>
        <v>7</v>
      </c>
      <c r="I64" t="s">
        <v>216</v>
      </c>
      <c r="J64">
        <f>LEN(TRIM(I63))-LEN(SUBSTITUTE(I63," ",""))+1</f>
        <v>7</v>
      </c>
      <c r="M64" s="42" t="s">
        <v>216</v>
      </c>
      <c r="N64">
        <f>LEN(TRIM(M63))-LEN(SUBSTITUTE(M63," ",""))+1</f>
        <v>8</v>
      </c>
    </row>
    <row r="67" spans="4:14" ht="15.45" customHeight="1" thickBot="1" x14ac:dyDescent="0.35">
      <c r="D67" s="353" t="s">
        <v>212</v>
      </c>
      <c r="E67" s="353"/>
      <c r="F67" s="353"/>
      <c r="G67" s="353"/>
      <c r="I67" s="353" t="s">
        <v>213</v>
      </c>
      <c r="J67" s="353"/>
      <c r="K67" s="353"/>
      <c r="L67" s="43"/>
      <c r="M67" s="103" t="s">
        <v>72</v>
      </c>
      <c r="N67" s="103"/>
    </row>
    <row r="68" spans="4:14" ht="136.94999999999999" customHeight="1" thickBot="1" x14ac:dyDescent="0.3">
      <c r="D68" s="350" t="s">
        <v>214</v>
      </c>
      <c r="E68" s="351"/>
      <c r="F68" s="351"/>
      <c r="G68" s="352"/>
      <c r="I68" s="350" t="s">
        <v>214</v>
      </c>
      <c r="J68" s="351"/>
      <c r="K68" s="352"/>
      <c r="L68" s="44"/>
      <c r="M68" s="354" t="s">
        <v>215</v>
      </c>
      <c r="N68" s="355"/>
    </row>
    <row r="69" spans="4:14" ht="21" customHeight="1" x14ac:dyDescent="0.25">
      <c r="D69" t="s">
        <v>216</v>
      </c>
      <c r="E69" t="s">
        <v>216</v>
      </c>
      <c r="F69">
        <f>LEN(TRIM(D68))-LEN(SUBSTITUTE(D68," ",""))+1</f>
        <v>7</v>
      </c>
      <c r="I69" t="s">
        <v>216</v>
      </c>
      <c r="J69">
        <f>LEN(TRIM(I68))-LEN(SUBSTITUTE(I68," ",""))+1</f>
        <v>7</v>
      </c>
      <c r="M69" s="42" t="s">
        <v>216</v>
      </c>
      <c r="N69">
        <f>LEN(TRIM(M68))-LEN(SUBSTITUTE(M68," ",""))+1</f>
        <v>8</v>
      </c>
    </row>
    <row r="71" spans="4:14" ht="16.2" customHeight="1" thickBot="1" x14ac:dyDescent="0.35">
      <c r="D71" s="353" t="s">
        <v>212</v>
      </c>
      <c r="E71" s="353"/>
      <c r="F71" s="353"/>
      <c r="G71" s="353"/>
      <c r="I71" s="353" t="s">
        <v>213</v>
      </c>
      <c r="J71" s="353"/>
      <c r="K71" s="353"/>
      <c r="M71" s="103" t="s">
        <v>72</v>
      </c>
      <c r="N71" s="103"/>
    </row>
    <row r="72" spans="4:14" ht="127.95" customHeight="1" thickBot="1" x14ac:dyDescent="0.3">
      <c r="D72" s="350" t="s">
        <v>214</v>
      </c>
      <c r="E72" s="351"/>
      <c r="F72" s="351"/>
      <c r="G72" s="352"/>
      <c r="I72" s="350" t="s">
        <v>214</v>
      </c>
      <c r="J72" s="351"/>
      <c r="K72" s="352"/>
      <c r="M72" s="354" t="s">
        <v>215</v>
      </c>
      <c r="N72" s="355"/>
    </row>
    <row r="73" spans="4:14" ht="22.2" customHeight="1" x14ac:dyDescent="0.25">
      <c r="D73" t="s">
        <v>216</v>
      </c>
      <c r="E73" t="s">
        <v>216</v>
      </c>
      <c r="F73">
        <f>LEN(TRIM(D72))-LEN(SUBSTITUTE(D72," ",""))+1</f>
        <v>7</v>
      </c>
      <c r="I73" t="s">
        <v>216</v>
      </c>
      <c r="J73">
        <f>LEN(TRIM(I72))-LEN(SUBSTITUTE(I72," ",""))+1</f>
        <v>7</v>
      </c>
      <c r="M73" s="42" t="s">
        <v>216</v>
      </c>
      <c r="N73">
        <f>LEN(TRIM(M72))-LEN(SUBSTITUTE(M72," ",""))+1</f>
        <v>8</v>
      </c>
    </row>
    <row r="75" spans="4:14" ht="16.2" thickBot="1" x14ac:dyDescent="0.35">
      <c r="D75" s="353" t="s">
        <v>212</v>
      </c>
      <c r="E75" s="353"/>
      <c r="F75" s="353"/>
      <c r="G75" s="353"/>
      <c r="I75" s="353" t="s">
        <v>213</v>
      </c>
      <c r="J75" s="353"/>
      <c r="K75" s="353"/>
      <c r="M75" s="103" t="s">
        <v>72</v>
      </c>
    </row>
    <row r="76" spans="4:14" ht="140.69999999999999" customHeight="1" thickBot="1" x14ac:dyDescent="0.3">
      <c r="D76" s="350" t="s">
        <v>214</v>
      </c>
      <c r="E76" s="351"/>
      <c r="F76" s="351"/>
      <c r="G76" s="352"/>
      <c r="I76" s="350" t="s">
        <v>214</v>
      </c>
      <c r="J76" s="351"/>
      <c r="K76" s="352"/>
      <c r="M76" s="354" t="s">
        <v>215</v>
      </c>
      <c r="N76" s="355"/>
    </row>
    <row r="77" spans="4:14" x14ac:dyDescent="0.25">
      <c r="D77" t="s">
        <v>216</v>
      </c>
      <c r="E77" t="s">
        <v>216</v>
      </c>
      <c r="F77">
        <f>LEN(TRIM(D76))-LEN(SUBSTITUTE(D76," ",""))+1</f>
        <v>7</v>
      </c>
      <c r="I77" t="s">
        <v>216</v>
      </c>
      <c r="J77">
        <f>LEN(TRIM(I76))-LEN(SUBSTITUTE(I76," ",""))+1</f>
        <v>7</v>
      </c>
      <c r="M77" s="42" t="s">
        <v>216</v>
      </c>
      <c r="N77">
        <f>LEN(TRIM(M76))-LEN(SUBSTITUTE(M76," ",""))+1</f>
        <v>8</v>
      </c>
    </row>
    <row r="79" spans="4:14" ht="31.95" customHeight="1" thickBot="1" x14ac:dyDescent="0.35">
      <c r="D79" s="353" t="s">
        <v>212</v>
      </c>
      <c r="E79" s="353"/>
      <c r="F79" s="353"/>
      <c r="G79" s="353"/>
      <c r="I79" s="369" t="s">
        <v>213</v>
      </c>
      <c r="J79" s="369"/>
      <c r="K79" s="369"/>
      <c r="M79" s="103" t="s">
        <v>72</v>
      </c>
    </row>
    <row r="80" spans="4:14" ht="150" customHeight="1" thickBot="1" x14ac:dyDescent="0.3">
      <c r="D80" s="350" t="s">
        <v>214</v>
      </c>
      <c r="E80" s="351"/>
      <c r="F80" s="351"/>
      <c r="G80" s="352"/>
      <c r="I80" s="350" t="s">
        <v>214</v>
      </c>
      <c r="J80" s="351"/>
      <c r="K80" s="352"/>
      <c r="M80" s="354" t="s">
        <v>215</v>
      </c>
      <c r="N80" s="355"/>
    </row>
    <row r="81" spans="1:14" x14ac:dyDescent="0.25">
      <c r="D81" t="s">
        <v>216</v>
      </c>
      <c r="E81" t="s">
        <v>216</v>
      </c>
      <c r="F81">
        <f>LEN(TRIM(D80))-LEN(SUBSTITUTE(D80," ",""))+1</f>
        <v>7</v>
      </c>
      <c r="I81" t="s">
        <v>216</v>
      </c>
      <c r="J81">
        <f>LEN(TRIM(I80))-LEN(SUBSTITUTE(I80," ",""))+1</f>
        <v>7</v>
      </c>
      <c r="M81" s="42" t="s">
        <v>216</v>
      </c>
      <c r="N81">
        <f>LEN(TRIM(M80))-LEN(SUBSTITUTE(M80," ",""))+1</f>
        <v>8</v>
      </c>
    </row>
    <row r="82" spans="1:14" ht="15.6" x14ac:dyDescent="0.3">
      <c r="N82" s="103"/>
    </row>
    <row r="83" spans="1:14" ht="16.2" thickBot="1" x14ac:dyDescent="0.35">
      <c r="D83" s="353" t="s">
        <v>212</v>
      </c>
      <c r="E83" s="353"/>
      <c r="F83" s="353"/>
      <c r="G83" s="353"/>
      <c r="I83" s="369" t="s">
        <v>213</v>
      </c>
      <c r="J83" s="369"/>
      <c r="K83" s="369"/>
      <c r="M83" s="103" t="s">
        <v>72</v>
      </c>
    </row>
    <row r="84" spans="1:14" ht="137.4" customHeight="1" thickBot="1" x14ac:dyDescent="0.3">
      <c r="D84" s="350" t="s">
        <v>214</v>
      </c>
      <c r="E84" s="351"/>
      <c r="F84" s="351"/>
      <c r="G84" s="352"/>
      <c r="I84" s="350" t="s">
        <v>214</v>
      </c>
      <c r="J84" s="351"/>
      <c r="K84" s="352"/>
      <c r="M84" s="354" t="s">
        <v>215</v>
      </c>
      <c r="N84" s="355"/>
    </row>
    <row r="85" spans="1:14" x14ac:dyDescent="0.25">
      <c r="D85" t="s">
        <v>216</v>
      </c>
      <c r="E85" t="s">
        <v>216</v>
      </c>
      <c r="F85">
        <f>LEN(TRIM(D84))-LEN(SUBSTITUTE(D84," ",""))+1</f>
        <v>7</v>
      </c>
      <c r="I85" t="s">
        <v>216</v>
      </c>
      <c r="J85">
        <f>LEN(TRIM(I84))-LEN(SUBSTITUTE(I84," ",""))+1</f>
        <v>7</v>
      </c>
      <c r="M85" s="42" t="s">
        <v>216</v>
      </c>
      <c r="N85">
        <f>LEN(TRIM(M84))-LEN(SUBSTITUTE(M84," ",""))+1</f>
        <v>8</v>
      </c>
    </row>
    <row r="87" spans="1:14" ht="16.2" thickBot="1" x14ac:dyDescent="0.35">
      <c r="D87" s="353" t="s">
        <v>212</v>
      </c>
      <c r="E87" s="353"/>
      <c r="F87" s="353"/>
      <c r="G87" s="353"/>
      <c r="I87" s="369" t="s">
        <v>213</v>
      </c>
      <c r="J87" s="369"/>
      <c r="K87" s="369"/>
      <c r="M87" s="103" t="s">
        <v>72</v>
      </c>
    </row>
    <row r="88" spans="1:14" ht="157.19999999999999" customHeight="1" thickBot="1" x14ac:dyDescent="0.3">
      <c r="D88" s="350" t="s">
        <v>214</v>
      </c>
      <c r="E88" s="351"/>
      <c r="F88" s="351"/>
      <c r="G88" s="352"/>
      <c r="I88" s="350" t="s">
        <v>214</v>
      </c>
      <c r="J88" s="351"/>
      <c r="K88" s="352"/>
      <c r="M88" s="354" t="s">
        <v>215</v>
      </c>
      <c r="N88" s="355"/>
    </row>
    <row r="89" spans="1:14" x14ac:dyDescent="0.25">
      <c r="D89" t="s">
        <v>216</v>
      </c>
      <c r="E89" t="s">
        <v>216</v>
      </c>
      <c r="F89">
        <f>LEN(TRIM(D88))-LEN(SUBSTITUTE(D88," ",""))+1</f>
        <v>7</v>
      </c>
      <c r="I89" t="s">
        <v>216</v>
      </c>
      <c r="J89">
        <f>LEN(TRIM(I88))-LEN(SUBSTITUTE(I88," ",""))+1</f>
        <v>7</v>
      </c>
      <c r="M89" s="42" t="s">
        <v>216</v>
      </c>
      <c r="N89">
        <f>LEN(TRIM(M88))-LEN(SUBSTITUTE(M88," ",""))+1</f>
        <v>8</v>
      </c>
    </row>
    <row r="91" spans="1:14" ht="16.2" thickBot="1" x14ac:dyDescent="0.35">
      <c r="D91" s="353" t="s">
        <v>212</v>
      </c>
      <c r="E91" s="353"/>
      <c r="F91" s="353"/>
      <c r="G91" s="353"/>
      <c r="I91" s="369" t="s">
        <v>213</v>
      </c>
      <c r="J91" s="369"/>
      <c r="K91" s="369"/>
      <c r="M91" s="103" t="s">
        <v>72</v>
      </c>
    </row>
    <row r="92" spans="1:14" ht="144" customHeight="1" thickBot="1" x14ac:dyDescent="0.3">
      <c r="D92" s="350" t="s">
        <v>214</v>
      </c>
      <c r="E92" s="351"/>
      <c r="F92" s="351"/>
      <c r="G92" s="352"/>
      <c r="I92" s="350" t="s">
        <v>214</v>
      </c>
      <c r="J92" s="351"/>
      <c r="K92" s="352"/>
      <c r="M92" s="354" t="s">
        <v>215</v>
      </c>
      <c r="N92" s="355"/>
    </row>
    <row r="93" spans="1:14" x14ac:dyDescent="0.25">
      <c r="D93" t="s">
        <v>216</v>
      </c>
      <c r="E93" t="s">
        <v>216</v>
      </c>
      <c r="F93">
        <f>LEN(TRIM(D92))-LEN(SUBSTITUTE(D92," ",""))+1</f>
        <v>7</v>
      </c>
      <c r="I93" t="s">
        <v>216</v>
      </c>
      <c r="J93">
        <f>LEN(TRIM(I92))-LEN(SUBSTITUTE(I92," ",""))+1</f>
        <v>7</v>
      </c>
      <c r="M93" s="42" t="s">
        <v>216</v>
      </c>
      <c r="N93">
        <f>LEN(TRIM(M92))-LEN(SUBSTITUTE(M92," ",""))+1</f>
        <v>8</v>
      </c>
    </row>
    <row r="95" spans="1:14" ht="15.6" x14ac:dyDescent="0.3">
      <c r="J95" s="43"/>
    </row>
    <row r="96" spans="1:14" x14ac:dyDescent="0.25">
      <c r="A96" s="173"/>
      <c r="J96" s="44"/>
      <c r="L96" s="44"/>
    </row>
    <row r="98" spans="1:2" x14ac:dyDescent="0.25">
      <c r="A98" s="174"/>
    </row>
    <row r="100" spans="1:2" x14ac:dyDescent="0.25">
      <c r="A100" s="178"/>
      <c r="B100" s="177"/>
    </row>
    <row r="102" spans="1:2" x14ac:dyDescent="0.25">
      <c r="B102" s="174"/>
    </row>
  </sheetData>
  <sheetProtection algorithmName="SHA-512" hashValue="hpEEmOX3KnozkX6o8q3TPBVTLH6jD4+McGOEzwTAL/Py46pQ1Wu1hKllvV7aQLgdQYQ4T7Hy6QFSj0+wBR2iJQ==" saltValue="8ZNw1Y6baXSqOZ0WlZ7K9g==" spinCount="100000" sheet="1" objects="1" scenarios="1" selectLockedCells="1"/>
  <mergeCells count="71">
    <mergeCell ref="M47:N47"/>
    <mergeCell ref="D54:G54"/>
    <mergeCell ref="D55:G55"/>
    <mergeCell ref="A41:C41"/>
    <mergeCell ref="A43:E43"/>
    <mergeCell ref="A44:F44"/>
    <mergeCell ref="I51:K51"/>
    <mergeCell ref="I50:K50"/>
    <mergeCell ref="D50:G50"/>
    <mergeCell ref="D51:G51"/>
    <mergeCell ref="D46:G46"/>
    <mergeCell ref="I46:J46"/>
    <mergeCell ref="D47:G47"/>
    <mergeCell ref="I47:K47"/>
    <mergeCell ref="B1:E1"/>
    <mergeCell ref="A25:D25"/>
    <mergeCell ref="E26:G26"/>
    <mergeCell ref="A27:E27"/>
    <mergeCell ref="F27:I27"/>
    <mergeCell ref="A14:D14"/>
    <mergeCell ref="A24:F24"/>
    <mergeCell ref="B2:F2"/>
    <mergeCell ref="I75:K75"/>
    <mergeCell ref="D75:G75"/>
    <mergeCell ref="D67:G67"/>
    <mergeCell ref="D68:G68"/>
    <mergeCell ref="I67:K67"/>
    <mergeCell ref="D76:G76"/>
    <mergeCell ref="I76:K76"/>
    <mergeCell ref="M76:N76"/>
    <mergeCell ref="I80:K80"/>
    <mergeCell ref="I84:K84"/>
    <mergeCell ref="D79:G79"/>
    <mergeCell ref="D80:G80"/>
    <mergeCell ref="M80:N80"/>
    <mergeCell ref="D83:G83"/>
    <mergeCell ref="D84:G84"/>
    <mergeCell ref="I83:K83"/>
    <mergeCell ref="M84:N84"/>
    <mergeCell ref="I79:K79"/>
    <mergeCell ref="I87:K87"/>
    <mergeCell ref="I88:K88"/>
    <mergeCell ref="D87:G87"/>
    <mergeCell ref="D88:G88"/>
    <mergeCell ref="M88:N88"/>
    <mergeCell ref="I91:K91"/>
    <mergeCell ref="I92:K92"/>
    <mergeCell ref="D91:G91"/>
    <mergeCell ref="D92:G92"/>
    <mergeCell ref="M92:N92"/>
    <mergeCell ref="D59:G59"/>
    <mergeCell ref="M59:N59"/>
    <mergeCell ref="D62:G62"/>
    <mergeCell ref="D63:G63"/>
    <mergeCell ref="M63:N63"/>
    <mergeCell ref="I62:K62"/>
    <mergeCell ref="I63:K63"/>
    <mergeCell ref="I59:K59"/>
    <mergeCell ref="D58:G58"/>
    <mergeCell ref="M51:N51"/>
    <mergeCell ref="I54:K54"/>
    <mergeCell ref="I55:K55"/>
    <mergeCell ref="I58:K58"/>
    <mergeCell ref="M55:N55"/>
    <mergeCell ref="M68:N68"/>
    <mergeCell ref="D71:G71"/>
    <mergeCell ref="D72:G72"/>
    <mergeCell ref="M72:N72"/>
    <mergeCell ref="I68:K68"/>
    <mergeCell ref="I71:K71"/>
    <mergeCell ref="I72:K72"/>
  </mergeCells>
  <dataValidations count="2">
    <dataValidation allowBlank="1" showInputMessage="1" showErrorMessage="1" prompt="Le titre de cette feuille de calcul figure dans cette cellule. Entrez le logo de la société dans la cellule à droite." sqref="C1:E1" xr:uid="{CF1403F7-88A8-4AD6-B118-4B230765273C}"/>
    <dataValidation type="custom" allowBlank="1" showErrorMessage="1" error="Le nombre de mots de cette zone de commentaire semble être supérieur à 150" sqref="D47:G47 M92:N92 M88:N88 M84:N84 M80:N80 M76:N76 M72:N72 M68:N68 M63:N63 M59:N59 M55:N55 M51:N51 M47:N47 I92:K92 I88:K88 I84:K84 I80:K80 I76:K76 I72:K72 I68:K68 I63:K63 I59:K59 I55:K55 I51:K51 I47:K47 D92:G92 D88:G88 D84:G84 D80:G80 D76:G76 D72:G72 D68:G68 D63:G63 D59:G59 D55:G55 D51:G51" xr:uid="{0E70FF0A-6941-478F-8EE8-5C892ADE75F2}">
      <formula1>LEN(TRIM(D47))-LEN(SUBSTITUTE(D47," ",""))+1&lt;=150</formula1>
    </dataValidation>
  </dataValidations>
  <pageMargins left="0.7" right="0.7" top="0.75" bottom="0.75" header="0.3" footer="0.3"/>
  <pageSetup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3D02CC4F-3FBD-426D-966F-7BB460AFB0B6}">
          <x14:formula1>
            <xm:f>Feuil_M!$A$3:$A$8</xm:f>
          </x14:formula1>
          <xm:sqref>F29:F40 H29:H40 D29:D40 B29:B40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158DC-DA38-482B-BCFA-5AA7EC43AC60}">
  <sheetPr codeName="Feuil14">
    <tabColor rgb="FFCFCECE"/>
  </sheetPr>
  <dimension ref="A1:P79"/>
  <sheetViews>
    <sheetView showGridLines="0" showRowColHeaders="0" zoomScale="65" zoomScaleNormal="65" workbookViewId="0">
      <selection activeCell="B29" sqref="B29"/>
    </sheetView>
  </sheetViews>
  <sheetFormatPr baseColWidth="10" defaultColWidth="11" defaultRowHeight="13.8" x14ac:dyDescent="0.25"/>
  <cols>
    <col min="1" max="1" width="26.69921875" customWidth="1"/>
    <col min="2" max="2" width="27.69921875" customWidth="1"/>
    <col min="3" max="3" width="43.19921875" hidden="1" customWidth="1"/>
    <col min="4" max="4" width="27.69921875" customWidth="1"/>
    <col min="5" max="5" width="16.69921875" hidden="1" customWidth="1"/>
    <col min="6" max="7" width="27.69921875" customWidth="1"/>
    <col min="8" max="8" width="32.69921875" customWidth="1"/>
    <col min="9" max="11" width="30.69921875" customWidth="1"/>
    <col min="12" max="12" width="15.69921875" customWidth="1"/>
    <col min="13" max="14" width="40.69921875" customWidth="1"/>
    <col min="15" max="15" width="18.19921875" customWidth="1"/>
    <col min="16" max="16" width="18.5" customWidth="1"/>
    <col min="17" max="17" width="13" customWidth="1"/>
  </cols>
  <sheetData>
    <row r="1" spans="1:8" ht="21" customHeight="1" x14ac:dyDescent="0.25">
      <c r="A1" s="9"/>
      <c r="B1" s="324"/>
      <c r="C1" s="325"/>
      <c r="D1" s="325"/>
      <c r="E1" s="325"/>
    </row>
    <row r="2" spans="1:8" ht="22.2" customHeight="1" x14ac:dyDescent="0.25">
      <c r="A2" s="9"/>
      <c r="B2" s="373" t="s">
        <v>0</v>
      </c>
      <c r="C2" s="373"/>
      <c r="D2" s="373"/>
      <c r="E2" s="373"/>
      <c r="F2" s="373"/>
    </row>
    <row r="3" spans="1:8" ht="21.45" customHeight="1" x14ac:dyDescent="0.25">
      <c r="A3" s="9"/>
    </row>
    <row r="13" spans="1:8" ht="13.95" customHeight="1" x14ac:dyDescent="0.25"/>
    <row r="14" spans="1:8" ht="22.95" customHeight="1" x14ac:dyDescent="0.4">
      <c r="A14" s="361" t="s">
        <v>193</v>
      </c>
      <c r="B14" s="314"/>
      <c r="C14" s="314"/>
      <c r="D14" s="314"/>
    </row>
    <row r="15" spans="1:8" ht="14.4" customHeight="1" thickBot="1" x14ac:dyDescent="0.3"/>
    <row r="16" spans="1:8" ht="31.95" customHeight="1" x14ac:dyDescent="0.3">
      <c r="A16" s="39" t="s">
        <v>6</v>
      </c>
      <c r="B16" s="39" t="s">
        <v>47</v>
      </c>
      <c r="C16" s="87"/>
      <c r="D16" s="39" t="s">
        <v>7</v>
      </c>
      <c r="F16" s="39" t="s">
        <v>8</v>
      </c>
      <c r="G16" s="39" t="s">
        <v>9</v>
      </c>
      <c r="H16" s="39" t="s">
        <v>10</v>
      </c>
    </row>
    <row r="17" spans="1:11" ht="31.95" customHeight="1" thickBot="1" x14ac:dyDescent="0.3">
      <c r="A17" s="47" t="s">
        <v>195</v>
      </c>
      <c r="B17" s="277" t="s">
        <v>11</v>
      </c>
      <c r="C17" s="278"/>
      <c r="D17" s="277" t="s">
        <v>12</v>
      </c>
      <c r="E17" s="276"/>
      <c r="F17" s="277" t="s">
        <v>13</v>
      </c>
      <c r="G17" s="277" t="s">
        <v>14</v>
      </c>
      <c r="H17" s="277" t="s">
        <v>15</v>
      </c>
    </row>
    <row r="18" spans="1:11" ht="31.95" customHeight="1" thickBot="1" x14ac:dyDescent="0.3">
      <c r="A18" s="47" t="s">
        <v>16</v>
      </c>
      <c r="B18" s="284" t="s">
        <v>200</v>
      </c>
      <c r="C18" s="283"/>
      <c r="D18" s="284" t="s">
        <v>201</v>
      </c>
      <c r="E18" s="279"/>
      <c r="F18" s="280" t="s">
        <v>17</v>
      </c>
      <c r="G18" s="280" t="s">
        <v>18</v>
      </c>
      <c r="H18" s="280" t="s">
        <v>19</v>
      </c>
    </row>
    <row r="19" spans="1:11" ht="31.95" customHeight="1" thickBot="1" x14ac:dyDescent="0.3">
      <c r="A19" s="88" t="s">
        <v>20</v>
      </c>
      <c r="B19" s="281" t="s">
        <v>21</v>
      </c>
      <c r="C19" s="282"/>
      <c r="D19" s="281" t="s">
        <v>187</v>
      </c>
      <c r="E19" s="276"/>
      <c r="F19" s="281" t="s">
        <v>188</v>
      </c>
      <c r="G19" s="281" t="s">
        <v>194</v>
      </c>
      <c r="H19" s="281" t="s">
        <v>22</v>
      </c>
    </row>
    <row r="20" spans="1:11" ht="13.95" customHeight="1" x14ac:dyDescent="0.25"/>
    <row r="23" spans="1:11" ht="13.95" customHeight="1" x14ac:dyDescent="0.25"/>
    <row r="24" spans="1:11" ht="22.95" customHeight="1" x14ac:dyDescent="0.4">
      <c r="A24" s="368" t="s">
        <v>208</v>
      </c>
      <c r="B24" s="368"/>
      <c r="C24" s="368"/>
      <c r="D24" s="368"/>
      <c r="E24" s="368"/>
      <c r="F24" s="368"/>
      <c r="G24" s="2"/>
      <c r="I24" s="1"/>
      <c r="J24" s="1"/>
      <c r="K24" s="1"/>
    </row>
    <row r="25" spans="1:11" ht="19.2" customHeight="1" x14ac:dyDescent="0.3">
      <c r="A25" s="367" t="s">
        <v>48</v>
      </c>
      <c r="B25" s="367"/>
      <c r="C25" s="367"/>
      <c r="D25" s="367"/>
      <c r="I25" s="1"/>
      <c r="J25" s="1"/>
      <c r="K25" s="1"/>
    </row>
    <row r="26" spans="1:11" ht="15.6" thickBot="1" x14ac:dyDescent="0.3">
      <c r="E26" s="366"/>
      <c r="F26" s="366"/>
      <c r="G26" s="366"/>
      <c r="I26" s="1"/>
      <c r="J26" s="1"/>
      <c r="K26" s="1"/>
    </row>
    <row r="27" spans="1:11" ht="22.2" customHeight="1" thickBot="1" x14ac:dyDescent="0.45">
      <c r="A27" s="362" t="s">
        <v>49</v>
      </c>
      <c r="B27" s="390"/>
      <c r="C27" s="390"/>
      <c r="D27" s="390"/>
      <c r="E27" s="390"/>
      <c r="F27" s="391" t="s">
        <v>50</v>
      </c>
      <c r="G27" s="390"/>
      <c r="H27" s="390"/>
      <c r="I27" s="392"/>
      <c r="J27" s="1"/>
      <c r="K27" s="1"/>
    </row>
    <row r="28" spans="1:11" ht="34.950000000000003" customHeight="1" thickBot="1" x14ac:dyDescent="0.35">
      <c r="A28" s="22" t="s">
        <v>246</v>
      </c>
      <c r="B28" s="36" t="s">
        <v>51</v>
      </c>
      <c r="C28" s="114" t="s">
        <v>52</v>
      </c>
      <c r="D28" s="122" t="s">
        <v>191</v>
      </c>
      <c r="E28" s="160" t="s">
        <v>53</v>
      </c>
      <c r="F28" s="154" t="s">
        <v>54</v>
      </c>
      <c r="G28" s="110" t="s">
        <v>55</v>
      </c>
      <c r="H28" s="37" t="s">
        <v>209</v>
      </c>
      <c r="I28" s="110" t="s">
        <v>56</v>
      </c>
      <c r="J28" t="s">
        <v>57</v>
      </c>
    </row>
    <row r="29" spans="1:11" ht="18" thickBot="1" x14ac:dyDescent="0.35">
      <c r="A29" s="82" t="s">
        <v>58</v>
      </c>
      <c r="B29" s="295" t="s">
        <v>61</v>
      </c>
      <c r="C29" s="49" t="str">
        <f>VLOOKUP(Tableau13[[#This Row],[Personne enseignante]],Feuil_M!$A$3:$B$8,2,FALSE)</f>
        <v>-</v>
      </c>
      <c r="D29" s="300" t="s">
        <v>61</v>
      </c>
      <c r="E29" s="50" t="str">
        <f>VLOOKUP(Tableau13[[#This Row],[Responsable de l’encadrement]],Feuil_M!$A$3:$B$8,2,FALSE)</f>
        <v>-</v>
      </c>
      <c r="F29" s="303" t="s">
        <v>61</v>
      </c>
      <c r="G29" s="49" t="str">
        <f>VLOOKUP(Tableau13[[#This Row],[Personne enseignante2]],Feuil_M!$A$3:$B$8,2,FALSE)</f>
        <v>-</v>
      </c>
      <c r="H29" s="295" t="s">
        <v>61</v>
      </c>
      <c r="I29" s="50" t="str">
        <f>VLOOKUP(Tableau13[[#This Row],[Responsable de l’encadrement2]],Feuil_M!$A$3:$B$8,2,FALSE)</f>
        <v>-</v>
      </c>
    </row>
    <row r="30" spans="1:11" ht="18" thickBot="1" x14ac:dyDescent="0.35">
      <c r="A30" s="82" t="s">
        <v>62</v>
      </c>
      <c r="B30" s="295" t="s">
        <v>61</v>
      </c>
      <c r="C30" s="72" t="str">
        <f>VLOOKUP(Tableau13[[#This Row],[Personne enseignante]],Feuil_M!$A$3:$B$8,2,FALSE)</f>
        <v>-</v>
      </c>
      <c r="D30" s="300" t="s">
        <v>61</v>
      </c>
      <c r="E30" s="161" t="str">
        <f>VLOOKUP(Tableau13[[#This Row],[Responsable de l’encadrement]],Feuil_M!$A$3:$B$8,2,FALSE)</f>
        <v>-</v>
      </c>
      <c r="F30" s="303" t="s">
        <v>61</v>
      </c>
      <c r="G30" s="49" t="str">
        <f>VLOOKUP(Tableau13[[#This Row],[Personne enseignante2]],Feuil_M!$A$3:$B$8,2,FALSE)</f>
        <v>-</v>
      </c>
      <c r="H30" s="295" t="s">
        <v>61</v>
      </c>
      <c r="I30" s="50" t="str">
        <f>VLOOKUP(Tableau13[[#This Row],[Responsable de l’encadrement2]],Feuil_M!$A$3:$B$8,2,FALSE)</f>
        <v>-</v>
      </c>
    </row>
    <row r="31" spans="1:11" ht="18" thickBot="1" x14ac:dyDescent="0.35">
      <c r="A31" s="82" t="s">
        <v>64</v>
      </c>
      <c r="B31" s="295" t="s">
        <v>61</v>
      </c>
      <c r="C31" s="72" t="str">
        <f>VLOOKUP(Tableau13[[#This Row],[Personne enseignante]],Feuil_M!$A$3:$B$8,2,FALSE)</f>
        <v>-</v>
      </c>
      <c r="D31" s="300" t="s">
        <v>61</v>
      </c>
      <c r="E31" s="161" t="str">
        <f>VLOOKUP(Tableau13[[#This Row],[Responsable de l’encadrement]],Feuil_M!$A$3:$B$8,2,FALSE)</f>
        <v>-</v>
      </c>
      <c r="F31" s="303" t="s">
        <v>61</v>
      </c>
      <c r="G31" s="49" t="str">
        <f>VLOOKUP(Tableau13[[#This Row],[Personne enseignante2]],Feuil_M!$A$3:$B$8,2,FALSE)</f>
        <v>-</v>
      </c>
      <c r="H31" s="295" t="s">
        <v>61</v>
      </c>
      <c r="I31" s="50" t="str">
        <f>VLOOKUP(Tableau13[[#This Row],[Responsable de l’encadrement2]],Feuil_M!$A$3:$B$8,2,FALSE)</f>
        <v>-</v>
      </c>
    </row>
    <row r="32" spans="1:11" ht="18" thickBot="1" x14ac:dyDescent="0.35">
      <c r="A32" s="82" t="s">
        <v>65</v>
      </c>
      <c r="B32" s="295" t="s">
        <v>61</v>
      </c>
      <c r="C32" s="72" t="str">
        <f>VLOOKUP(Tableau13[[#This Row],[Personne enseignante]],Feuil_M!$A$3:$B$8,2,FALSE)</f>
        <v>-</v>
      </c>
      <c r="D32" s="300" t="s">
        <v>61</v>
      </c>
      <c r="E32" s="161" t="str">
        <f>VLOOKUP(Tableau13[[#This Row],[Responsable de l’encadrement]],Feuil_M!$A$3:$B$8,2,FALSE)</f>
        <v>-</v>
      </c>
      <c r="F32" s="303" t="s">
        <v>61</v>
      </c>
      <c r="G32" s="49" t="str">
        <f>VLOOKUP(Tableau13[[#This Row],[Personne enseignante2]],Feuil_M!$A$3:$B$8,2,FALSE)</f>
        <v>-</v>
      </c>
      <c r="H32" s="295" t="s">
        <v>61</v>
      </c>
      <c r="I32" s="50" t="str">
        <f>VLOOKUP(Tableau13[[#This Row],[Responsable de l’encadrement2]],Feuil_M!$A$3:$B$8,2,FALSE)</f>
        <v>-</v>
      </c>
    </row>
    <row r="33" spans="1:16" ht="18" thickBot="1" x14ac:dyDescent="0.35">
      <c r="A33" s="82" t="s">
        <v>67</v>
      </c>
      <c r="B33" s="295" t="s">
        <v>61</v>
      </c>
      <c r="C33" s="72" t="str">
        <f>VLOOKUP(Tableau13[[#This Row],[Personne enseignante]],Feuil_M!$A$3:$B$8,2,FALSE)</f>
        <v>-</v>
      </c>
      <c r="D33" s="300" t="s">
        <v>61</v>
      </c>
      <c r="E33" s="161" t="str">
        <f>VLOOKUP(Tableau13[[#This Row],[Responsable de l’encadrement]],Feuil_M!$A$3:$B$8,2,FALSE)</f>
        <v>-</v>
      </c>
      <c r="F33" s="303" t="s">
        <v>61</v>
      </c>
      <c r="G33" s="49" t="str">
        <f>VLOOKUP(Tableau13[[#This Row],[Personne enseignante2]],Feuil_M!$A$3:$B$8,2,FALSE)</f>
        <v>-</v>
      </c>
      <c r="H33" s="295" t="s">
        <v>61</v>
      </c>
      <c r="I33" s="50" t="str">
        <f>VLOOKUP(Tableau13[[#This Row],[Responsable de l’encadrement2]],Feuil_M!$A$3:$B$8,2,FALSE)</f>
        <v>-</v>
      </c>
    </row>
    <row r="34" spans="1:16" ht="18" thickBot="1" x14ac:dyDescent="0.35">
      <c r="A34" s="82" t="s">
        <v>69</v>
      </c>
      <c r="B34" s="295" t="s">
        <v>61</v>
      </c>
      <c r="C34" s="72" t="str">
        <f>VLOOKUP(Tableau13[[#This Row],[Personne enseignante]],Feuil_M!$A$3:$B$8,2,FALSE)</f>
        <v>-</v>
      </c>
      <c r="D34" s="300" t="s">
        <v>61</v>
      </c>
      <c r="E34" s="161" t="str">
        <f>VLOOKUP(Tableau13[[#This Row],[Responsable de l’encadrement]],Feuil_M!$A$3:$B$8,2,FALSE)</f>
        <v>-</v>
      </c>
      <c r="F34" s="303" t="s">
        <v>61</v>
      </c>
      <c r="G34" s="49" t="str">
        <f>VLOOKUP(Tableau13[[#This Row],[Personne enseignante2]],Feuil_M!$A$3:$B$8,2,FALSE)</f>
        <v>-</v>
      </c>
      <c r="H34" s="295" t="s">
        <v>61</v>
      </c>
      <c r="I34" s="50" t="str">
        <f>VLOOKUP(Tableau13[[#This Row],[Responsable de l’encadrement2]],Feuil_M!$A$3:$B$8,2,FALSE)</f>
        <v>-</v>
      </c>
    </row>
    <row r="35" spans="1:16" ht="18" thickBot="1" x14ac:dyDescent="0.35">
      <c r="A35" s="82" t="s">
        <v>70</v>
      </c>
      <c r="B35" s="295" t="s">
        <v>61</v>
      </c>
      <c r="C35" s="49" t="str">
        <f>VLOOKUP(Tableau13[[#This Row],[Personne enseignante]],Feuil_M!$A$3:$B$8,2,FALSE)</f>
        <v>-</v>
      </c>
      <c r="D35" s="300" t="s">
        <v>61</v>
      </c>
      <c r="E35" s="50" t="str">
        <f>VLOOKUP(Tableau13[[#This Row],[Responsable de l’encadrement]],Feuil_M!$A$3:$B$8,2,FALSE)</f>
        <v>-</v>
      </c>
      <c r="F35" s="303" t="s">
        <v>61</v>
      </c>
      <c r="G35" s="49" t="str">
        <f>VLOOKUP(Tableau13[[#This Row],[Personne enseignante2]],Feuil_M!$A$3:$B$8,2,FALSE)</f>
        <v>-</v>
      </c>
      <c r="H35" s="295" t="s">
        <v>61</v>
      </c>
      <c r="I35" s="50" t="str">
        <f>VLOOKUP(Tableau13[[#This Row],[Responsable de l’encadrement2]],Feuil_M!$A$3:$B$8,2,FALSE)</f>
        <v>-</v>
      </c>
    </row>
    <row r="36" spans="1:16" ht="18" thickBot="1" x14ac:dyDescent="0.35">
      <c r="A36" s="82" t="s">
        <v>71</v>
      </c>
      <c r="B36" s="295" t="s">
        <v>61</v>
      </c>
      <c r="C36" s="49" t="str">
        <f>VLOOKUP(Tableau13[[#This Row],[Personne enseignante]],Feuil_M!$A$3:$B$8,2,FALSE)</f>
        <v>-</v>
      </c>
      <c r="D36" s="300" t="s">
        <v>61</v>
      </c>
      <c r="E36" s="50" t="str">
        <f>VLOOKUP(Tableau13[[#This Row],[Responsable de l’encadrement]],Feuil_M!$A$3:$B$8,2,FALSE)</f>
        <v>-</v>
      </c>
      <c r="F36" s="303" t="s">
        <v>61</v>
      </c>
      <c r="G36" s="49" t="str">
        <f>VLOOKUP(Tableau13[[#This Row],[Personne enseignante2]],Feuil_M!$A$3:$B$8,2,FALSE)</f>
        <v>-</v>
      </c>
      <c r="H36" s="295" t="s">
        <v>61</v>
      </c>
      <c r="I36" s="50" t="str">
        <f>VLOOKUP(Tableau13[[#This Row],[Responsable de l’encadrement2]],Feuil_M!$A$3:$B$8,2,FALSE)</f>
        <v>-</v>
      </c>
    </row>
    <row r="37" spans="1:16" ht="18" thickBot="1" x14ac:dyDescent="0.35">
      <c r="A37" s="363"/>
      <c r="B37" s="364"/>
      <c r="C37" s="364"/>
      <c r="D37" s="51"/>
      <c r="E37" s="118"/>
      <c r="F37" s="12"/>
      <c r="G37" s="4"/>
      <c r="H37" s="4"/>
      <c r="I37" s="17"/>
    </row>
    <row r="38" spans="1:16" ht="18" thickBot="1" x14ac:dyDescent="0.35">
      <c r="A38" s="101" t="s">
        <v>211</v>
      </c>
      <c r="B38" s="54"/>
      <c r="C38" s="167" t="str">
        <f>IF(SUBTOTAL(102,Tableau13[Résultats For1])=0,"",SUBTOTAL(101,Tableau13[Résultats For1]))</f>
        <v/>
      </c>
      <c r="D38" s="67" t="s">
        <v>82</v>
      </c>
      <c r="E38" s="167" t="str">
        <f>IF(SUBTOTAL(102,Tableau13[Résultats For2])=0,"",SUBTOTAL(101,Tableau13[Résultats For2]))</f>
        <v/>
      </c>
      <c r="F38" s="52"/>
      <c r="G38" s="164" t="str">
        <f>IF(SUBTOTAL(102,Tableau13[Résultats Som1])=0,"",SUBTOTAL(101,Tableau13[Résultats Som1]))</f>
        <v/>
      </c>
      <c r="H38" s="51"/>
      <c r="I38" s="165" t="str">
        <f>IF(SUBTOTAL(102,Tableau13[Résultats Som2])=0,"",SUBTOTAL(101,Tableau13[Résultats Som2]))</f>
        <v/>
      </c>
    </row>
    <row r="40" spans="1:16" ht="15" customHeight="1" x14ac:dyDescent="0.4">
      <c r="A40" s="368"/>
      <c r="B40" s="368"/>
      <c r="C40" s="368"/>
      <c r="D40" s="368"/>
      <c r="E40" s="368"/>
      <c r="F40" s="368"/>
      <c r="G40" s="1"/>
      <c r="H40" s="1"/>
      <c r="I40" s="1"/>
      <c r="J40" s="1"/>
      <c r="K40" s="1"/>
    </row>
    <row r="41" spans="1:16" ht="36" customHeight="1" x14ac:dyDescent="0.3">
      <c r="A41" s="367" t="s">
        <v>241</v>
      </c>
      <c r="B41" s="367"/>
      <c r="C41" s="367"/>
      <c r="D41" s="367"/>
      <c r="E41" s="367"/>
      <c r="F41" s="367"/>
      <c r="G41" s="1"/>
      <c r="H41" s="1"/>
      <c r="I41" s="1"/>
      <c r="J41" s="1"/>
      <c r="K41" s="1"/>
    </row>
    <row r="42" spans="1:16" ht="18" customHeight="1" x14ac:dyDescent="0.3">
      <c r="A42" s="104"/>
      <c r="B42" s="104"/>
      <c r="C42" s="104"/>
      <c r="D42" s="104"/>
      <c r="E42" s="104"/>
      <c r="G42" s="1"/>
      <c r="H42" s="1"/>
      <c r="I42" s="1"/>
      <c r="J42" s="1"/>
      <c r="K42" s="1"/>
    </row>
    <row r="43" spans="1:16" ht="22.2" customHeight="1" thickBot="1" x14ac:dyDescent="0.35">
      <c r="D43" s="369" t="s">
        <v>237</v>
      </c>
      <c r="E43" s="369"/>
      <c r="F43" s="369"/>
      <c r="G43" s="369"/>
      <c r="I43" s="369" t="s">
        <v>213</v>
      </c>
      <c r="J43" s="369"/>
      <c r="K43" s="369"/>
      <c r="M43" s="103" t="s">
        <v>72</v>
      </c>
      <c r="N43" s="103"/>
      <c r="O43" s="103"/>
      <c r="P43" s="103"/>
    </row>
    <row r="44" spans="1:16" ht="199.95" customHeight="1" thickBot="1" x14ac:dyDescent="0.3">
      <c r="C44" s="44"/>
      <c r="D44" s="350" t="s">
        <v>214</v>
      </c>
      <c r="E44" s="351"/>
      <c r="F44" s="351"/>
      <c r="G44" s="352"/>
      <c r="I44" s="350" t="s">
        <v>214</v>
      </c>
      <c r="J44" s="351"/>
      <c r="K44" s="352"/>
      <c r="M44" s="354" t="s">
        <v>215</v>
      </c>
      <c r="N44" s="355"/>
      <c r="O44" s="44"/>
    </row>
    <row r="45" spans="1:16" ht="13.95" customHeight="1" x14ac:dyDescent="0.25">
      <c r="D45" t="s">
        <v>216</v>
      </c>
      <c r="F45">
        <f>LEN(TRIM(D44))-LEN(SUBSTITUTE(D44," ",""))+1</f>
        <v>7</v>
      </c>
      <c r="I45" t="s">
        <v>216</v>
      </c>
      <c r="J45">
        <f>LEN(TRIM(I44))-LEN(SUBSTITUTE(I44," ",""))+1</f>
        <v>7</v>
      </c>
      <c r="M45" t="s">
        <v>216</v>
      </c>
      <c r="N45">
        <f>LEN(TRIM(M44))-LEN(SUBSTITUTE(M44," ",""))+1</f>
        <v>8</v>
      </c>
    </row>
    <row r="46" spans="1:16" ht="13.95" customHeight="1" x14ac:dyDescent="0.25">
      <c r="E46" s="16"/>
      <c r="G46" s="16"/>
      <c r="I46" s="1"/>
      <c r="J46" s="1"/>
    </row>
    <row r="47" spans="1:16" ht="15.45" customHeight="1" thickBot="1" x14ac:dyDescent="0.35">
      <c r="D47" s="369" t="s">
        <v>237</v>
      </c>
      <c r="E47" s="369"/>
      <c r="F47" s="369"/>
      <c r="G47" s="369"/>
      <c r="I47" s="369" t="s">
        <v>213</v>
      </c>
      <c r="J47" s="369"/>
      <c r="K47" s="369"/>
      <c r="M47" s="43" t="s">
        <v>72</v>
      </c>
      <c r="N47" s="43"/>
    </row>
    <row r="48" spans="1:16" ht="199.95" customHeight="1" thickBot="1" x14ac:dyDescent="0.3">
      <c r="C48" s="44"/>
      <c r="D48" s="350" t="s">
        <v>214</v>
      </c>
      <c r="E48" s="351"/>
      <c r="F48" s="351"/>
      <c r="G48" s="352"/>
      <c r="I48" s="350" t="s">
        <v>214</v>
      </c>
      <c r="J48" s="351"/>
      <c r="K48" s="352"/>
      <c r="M48" s="354" t="s">
        <v>215</v>
      </c>
      <c r="N48" s="355"/>
      <c r="O48" s="44"/>
    </row>
    <row r="49" spans="3:15" ht="13.95" customHeight="1" x14ac:dyDescent="0.25">
      <c r="D49" t="s">
        <v>216</v>
      </c>
      <c r="F49">
        <f>LEN(TRIM(D48))-LEN(SUBSTITUTE(D48," ",""))+1</f>
        <v>7</v>
      </c>
      <c r="I49" t="s">
        <v>216</v>
      </c>
      <c r="J49">
        <f>LEN(TRIM(I48))-LEN(SUBSTITUTE(I48," ",""))+1</f>
        <v>7</v>
      </c>
      <c r="M49" t="s">
        <v>216</v>
      </c>
      <c r="N49">
        <f>LEN(TRIM(M48))-LEN(SUBSTITUTE(M48," ",""))+1</f>
        <v>8</v>
      </c>
    </row>
    <row r="50" spans="3:15" x14ac:dyDescent="0.25">
      <c r="E50" s="16"/>
      <c r="G50" s="16"/>
      <c r="I50" s="1"/>
      <c r="J50" s="1"/>
    </row>
    <row r="51" spans="3:15" ht="16.2" customHeight="1" thickBot="1" x14ac:dyDescent="0.35">
      <c r="D51" s="369" t="s">
        <v>237</v>
      </c>
      <c r="E51" s="369"/>
      <c r="F51" s="369"/>
      <c r="G51" s="369"/>
      <c r="I51" s="369" t="s">
        <v>213</v>
      </c>
      <c r="J51" s="369"/>
      <c r="K51" s="369"/>
      <c r="M51" s="43" t="s">
        <v>72</v>
      </c>
      <c r="N51" s="43"/>
    </row>
    <row r="52" spans="3:15" ht="180" customHeight="1" thickBot="1" x14ac:dyDescent="0.3">
      <c r="C52" s="44"/>
      <c r="D52" s="350" t="s">
        <v>214</v>
      </c>
      <c r="E52" s="351"/>
      <c r="F52" s="351"/>
      <c r="G52" s="352"/>
      <c r="I52" s="350" t="s">
        <v>214</v>
      </c>
      <c r="J52" s="351"/>
      <c r="K52" s="352"/>
      <c r="M52" s="354" t="s">
        <v>215</v>
      </c>
      <c r="N52" s="355"/>
      <c r="O52" s="44"/>
    </row>
    <row r="53" spans="3:15" ht="13.95" customHeight="1" x14ac:dyDescent="0.25">
      <c r="D53" t="s">
        <v>216</v>
      </c>
      <c r="F53">
        <f>LEN(TRIM(D52))-LEN(SUBSTITUTE(D52," ",""))+1</f>
        <v>7</v>
      </c>
      <c r="I53" t="s">
        <v>216</v>
      </c>
      <c r="J53">
        <f>LEN(TRIM(I52))-LEN(SUBSTITUTE(I52," ",""))+1</f>
        <v>7</v>
      </c>
      <c r="M53" t="s">
        <v>216</v>
      </c>
      <c r="N53">
        <f>LEN(TRIM(M52))-LEN(SUBSTITUTE(M52," ",""))+1</f>
        <v>8</v>
      </c>
    </row>
    <row r="55" spans="3:15" ht="31.95" customHeight="1" thickBot="1" x14ac:dyDescent="0.35">
      <c r="D55" s="369" t="s">
        <v>237</v>
      </c>
      <c r="E55" s="369"/>
      <c r="F55" s="369"/>
      <c r="G55" s="369"/>
      <c r="I55" s="369" t="s">
        <v>213</v>
      </c>
      <c r="J55" s="369"/>
      <c r="K55" s="369"/>
      <c r="M55" s="43" t="s">
        <v>72</v>
      </c>
      <c r="N55" s="43"/>
    </row>
    <row r="56" spans="3:15" ht="187.2" customHeight="1" thickBot="1" x14ac:dyDescent="0.3">
      <c r="D56" s="350" t="s">
        <v>214</v>
      </c>
      <c r="E56" s="351"/>
      <c r="F56" s="351"/>
      <c r="G56" s="352"/>
      <c r="I56" s="350" t="s">
        <v>214</v>
      </c>
      <c r="J56" s="351"/>
      <c r="K56" s="352"/>
      <c r="M56" s="354" t="s">
        <v>215</v>
      </c>
      <c r="N56" s="355"/>
    </row>
    <row r="57" spans="3:15" x14ac:dyDescent="0.25">
      <c r="D57" t="s">
        <v>216</v>
      </c>
      <c r="F57">
        <f>LEN(TRIM(D56))-LEN(SUBSTITUTE(D56," ",""))+1</f>
        <v>7</v>
      </c>
      <c r="I57" t="s">
        <v>216</v>
      </c>
      <c r="J57">
        <f>LEN(TRIM(I56))-LEN(SUBSTITUTE(I56," ",""))+1</f>
        <v>7</v>
      </c>
      <c r="M57" t="s">
        <v>216</v>
      </c>
      <c r="N57">
        <f>LEN(TRIM(M56))-LEN(SUBSTITUTE(M56," ",""))+1</f>
        <v>8</v>
      </c>
    </row>
    <row r="59" spans="3:15" ht="31.95" customHeight="1" thickBot="1" x14ac:dyDescent="0.35">
      <c r="D59" s="353" t="s">
        <v>237</v>
      </c>
      <c r="E59" s="353"/>
      <c r="F59" s="353"/>
      <c r="G59" s="353"/>
      <c r="I59" s="369" t="s">
        <v>213</v>
      </c>
      <c r="J59" s="369"/>
      <c r="K59" s="369"/>
      <c r="M59" s="43" t="s">
        <v>72</v>
      </c>
      <c r="N59" s="43"/>
    </row>
    <row r="60" spans="3:15" ht="188.7" customHeight="1" thickBot="1" x14ac:dyDescent="0.3">
      <c r="D60" s="350" t="s">
        <v>214</v>
      </c>
      <c r="E60" s="351"/>
      <c r="F60" s="351"/>
      <c r="G60" s="352"/>
      <c r="I60" s="350" t="s">
        <v>214</v>
      </c>
      <c r="J60" s="351"/>
      <c r="K60" s="352"/>
      <c r="M60" s="354" t="s">
        <v>215</v>
      </c>
      <c r="N60" s="355"/>
    </row>
    <row r="61" spans="3:15" x14ac:dyDescent="0.25">
      <c r="D61" t="s">
        <v>216</v>
      </c>
      <c r="F61">
        <f>LEN(TRIM(D60))-LEN(SUBSTITUTE(D60," ",""))+1</f>
        <v>7</v>
      </c>
      <c r="I61" t="s">
        <v>216</v>
      </c>
      <c r="J61">
        <f>LEN(TRIM(I60))-LEN(SUBSTITUTE(I60," ",""))+1</f>
        <v>7</v>
      </c>
      <c r="M61" t="s">
        <v>216</v>
      </c>
      <c r="N61">
        <f>LEN(TRIM(M60))-LEN(SUBSTITUTE(M60," ",""))+1</f>
        <v>8</v>
      </c>
    </row>
    <row r="63" spans="3:15" ht="31.95" customHeight="1" thickBot="1" x14ac:dyDescent="0.35">
      <c r="D63" s="353" t="s">
        <v>237</v>
      </c>
      <c r="E63" s="353"/>
      <c r="F63" s="353"/>
      <c r="G63" s="353"/>
      <c r="I63" s="369" t="s">
        <v>213</v>
      </c>
      <c r="J63" s="369"/>
      <c r="K63" s="369"/>
      <c r="M63" s="43" t="s">
        <v>72</v>
      </c>
      <c r="N63" s="43"/>
    </row>
    <row r="64" spans="3:15" ht="187.95" customHeight="1" thickBot="1" x14ac:dyDescent="0.3">
      <c r="D64" s="350" t="s">
        <v>214</v>
      </c>
      <c r="E64" s="351"/>
      <c r="F64" s="351"/>
      <c r="G64" s="352"/>
      <c r="I64" s="350" t="s">
        <v>214</v>
      </c>
      <c r="J64" s="351"/>
      <c r="K64" s="352"/>
      <c r="M64" s="354" t="s">
        <v>215</v>
      </c>
      <c r="N64" s="355"/>
    </row>
    <row r="65" spans="1:14" x14ac:dyDescent="0.25">
      <c r="D65" t="s">
        <v>216</v>
      </c>
      <c r="F65">
        <f>LEN(TRIM(D64))-LEN(SUBSTITUTE(D64," ",""))+1</f>
        <v>7</v>
      </c>
      <c r="I65" t="s">
        <v>216</v>
      </c>
      <c r="J65">
        <f>LEN(TRIM(I64))-LEN(SUBSTITUTE(I64," ",""))+1</f>
        <v>7</v>
      </c>
      <c r="M65" t="s">
        <v>216</v>
      </c>
      <c r="N65">
        <f>LEN(TRIM(M64))-LEN(SUBSTITUTE(M64," ",""))+1</f>
        <v>8</v>
      </c>
    </row>
    <row r="67" spans="1:14" ht="31.95" customHeight="1" thickBot="1" x14ac:dyDescent="0.35">
      <c r="D67" s="353" t="s">
        <v>237</v>
      </c>
      <c r="E67" s="353"/>
      <c r="F67" s="353"/>
      <c r="G67" s="353"/>
      <c r="I67" s="369" t="s">
        <v>213</v>
      </c>
      <c r="J67" s="369"/>
      <c r="K67" s="369"/>
      <c r="M67" s="43" t="s">
        <v>72</v>
      </c>
      <c r="N67" s="43"/>
    </row>
    <row r="68" spans="1:14" ht="186.45" customHeight="1" thickBot="1" x14ac:dyDescent="0.3">
      <c r="D68" s="350" t="s">
        <v>214</v>
      </c>
      <c r="E68" s="351"/>
      <c r="F68" s="351"/>
      <c r="G68" s="352"/>
      <c r="I68" s="350" t="s">
        <v>214</v>
      </c>
      <c r="J68" s="351"/>
      <c r="K68" s="352"/>
      <c r="M68" s="354" t="s">
        <v>215</v>
      </c>
      <c r="N68" s="355"/>
    </row>
    <row r="69" spans="1:14" x14ac:dyDescent="0.25">
      <c r="D69" t="s">
        <v>216</v>
      </c>
      <c r="F69">
        <f>LEN(TRIM(D68))-LEN(SUBSTITUTE(D68," ",""))+1</f>
        <v>7</v>
      </c>
      <c r="I69" t="s">
        <v>216</v>
      </c>
      <c r="J69">
        <f>LEN(TRIM(I68))-LEN(SUBSTITUTE(I68," ",""))+1</f>
        <v>7</v>
      </c>
      <c r="M69" t="s">
        <v>216</v>
      </c>
      <c r="N69">
        <f>LEN(TRIM(M68))-LEN(SUBSTITUTE(M68," ",""))+1</f>
        <v>8</v>
      </c>
    </row>
    <row r="71" spans="1:14" ht="16.2" thickBot="1" x14ac:dyDescent="0.35">
      <c r="D71" s="353" t="s">
        <v>237</v>
      </c>
      <c r="E71" s="353"/>
      <c r="F71" s="353"/>
      <c r="G71" s="353"/>
      <c r="I71" s="369" t="s">
        <v>213</v>
      </c>
      <c r="J71" s="369"/>
      <c r="K71" s="369"/>
      <c r="M71" s="43" t="s">
        <v>72</v>
      </c>
      <c r="N71" s="43"/>
    </row>
    <row r="72" spans="1:14" ht="147.6" customHeight="1" thickBot="1" x14ac:dyDescent="0.3">
      <c r="D72" s="350" t="s">
        <v>214</v>
      </c>
      <c r="E72" s="351"/>
      <c r="F72" s="351"/>
      <c r="G72" s="352"/>
      <c r="I72" s="350" t="s">
        <v>214</v>
      </c>
      <c r="J72" s="351"/>
      <c r="K72" s="352"/>
      <c r="M72" s="354" t="s">
        <v>215</v>
      </c>
      <c r="N72" s="355"/>
    </row>
    <row r="73" spans="1:14" x14ac:dyDescent="0.25">
      <c r="A73" s="173"/>
      <c r="D73" t="s">
        <v>216</v>
      </c>
      <c r="F73">
        <f>LEN(TRIM(D72))-LEN(SUBSTITUTE(D72," ",""))+1</f>
        <v>7</v>
      </c>
      <c r="I73" t="s">
        <v>216</v>
      </c>
      <c r="J73">
        <f>LEN(TRIM(I72))-LEN(SUBSTITUTE(I72," ",""))+1</f>
        <v>7</v>
      </c>
      <c r="M73" t="s">
        <v>216</v>
      </c>
      <c r="N73">
        <f>LEN(TRIM(M72))-LEN(SUBSTITUTE(M72," ",""))+1</f>
        <v>8</v>
      </c>
    </row>
    <row r="75" spans="1:14" x14ac:dyDescent="0.25">
      <c r="A75" s="174"/>
    </row>
    <row r="77" spans="1:14" x14ac:dyDescent="0.25">
      <c r="A77" s="178"/>
      <c r="B77" s="177"/>
    </row>
    <row r="79" spans="1:14" x14ac:dyDescent="0.25">
      <c r="B79" s="174"/>
    </row>
  </sheetData>
  <sheetProtection algorithmName="SHA-512" hashValue="nLKUVJFSd+Fy8PaRFIb15a3j/x/7ucHCJ+RSKzvpvva+jToF4w2+Y8lq/qz7kFpeYXwbxpEMN+WJsU+alvB/dQ==" saltValue="EjEIakzO50/AlKf55IWZow==" spinCount="100000" sheet="1" objects="1" scenarios="1" selectLockedCells="1"/>
  <mergeCells count="51">
    <mergeCell ref="M68:N68"/>
    <mergeCell ref="M72:N72"/>
    <mergeCell ref="A27:E27"/>
    <mergeCell ref="F27:I27"/>
    <mergeCell ref="B1:E1"/>
    <mergeCell ref="A25:D25"/>
    <mergeCell ref="E26:G26"/>
    <mergeCell ref="A14:D14"/>
    <mergeCell ref="A24:F24"/>
    <mergeCell ref="B2:F2"/>
    <mergeCell ref="M56:N56"/>
    <mergeCell ref="A37:C37"/>
    <mergeCell ref="A40:F40"/>
    <mergeCell ref="D43:G43"/>
    <mergeCell ref="D44:G44"/>
    <mergeCell ref="D48:G48"/>
    <mergeCell ref="D55:G55"/>
    <mergeCell ref="D51:G51"/>
    <mergeCell ref="D47:G47"/>
    <mergeCell ref="M44:N44"/>
    <mergeCell ref="M48:N48"/>
    <mergeCell ref="M52:N52"/>
    <mergeCell ref="D56:G56"/>
    <mergeCell ref="A41:F41"/>
    <mergeCell ref="I44:K44"/>
    <mergeCell ref="M60:N60"/>
    <mergeCell ref="D71:G71"/>
    <mergeCell ref="M64:N64"/>
    <mergeCell ref="D59:G59"/>
    <mergeCell ref="I59:K59"/>
    <mergeCell ref="I43:K43"/>
    <mergeCell ref="I48:K48"/>
    <mergeCell ref="I47:K47"/>
    <mergeCell ref="I52:K52"/>
    <mergeCell ref="I56:K56"/>
    <mergeCell ref="I55:K55"/>
    <mergeCell ref="I51:K51"/>
    <mergeCell ref="D52:G52"/>
    <mergeCell ref="D72:G72"/>
    <mergeCell ref="I71:K71"/>
    <mergeCell ref="I72:K72"/>
    <mergeCell ref="D60:G60"/>
    <mergeCell ref="D64:G64"/>
    <mergeCell ref="D63:G63"/>
    <mergeCell ref="I63:K63"/>
    <mergeCell ref="D67:G67"/>
    <mergeCell ref="D68:G68"/>
    <mergeCell ref="I60:K60"/>
    <mergeCell ref="I64:K64"/>
    <mergeCell ref="I68:K68"/>
    <mergeCell ref="I67:K67"/>
  </mergeCells>
  <dataValidations count="3">
    <dataValidation type="custom" allowBlank="1" showErrorMessage="1" error="Le nombre de mots de cette zone de commentaire semble être supérieur à 150." sqref="C52 C44 C48" xr:uid="{1A290A68-E117-465F-AFE3-9A0EDD3FB603}">
      <formula1>LEN(TRIM(C44))-LEN(SUBSTITUTE(C44," ",""))+1&lt;=150</formula1>
    </dataValidation>
    <dataValidation allowBlank="1" showInputMessage="1" showErrorMessage="1" prompt="Le titre de cette feuille de calcul figure dans cette cellule. Entrez le logo de la société dans la cellule à droite." sqref="C1:E1" xr:uid="{7CA24DB6-802B-4E42-A5A7-21FE6C97B5AE}"/>
    <dataValidation type="custom" allowBlank="1" showErrorMessage="1" error="Le nombre de mots de cette zone de commentaire semble être supérieur à 150" sqref="D44:G44 M72:N72 M68:N68 M64:N64 M60:N60 M56:N56 M52:N52 M48:N48 M44:N44 I72:K72 I68:K68 I64:K64 I60:K60 I56:K56 I52:K52 I48:K48 I44:K44 D72:G72 D68:G68 D64:G64 D60:G60 D56:G56 D52:G52 D48:G48" xr:uid="{EC9B0287-CC52-4EC8-B815-2559F3564C5C}">
      <formula1>LEN(TRIM(D44))-LEN(SUBSTITUTE(D44," ",""))+1&lt;=150</formula1>
    </dataValidation>
  </dataValidations>
  <pageMargins left="0.7" right="0.7" top="0.75" bottom="0.75" header="0.3" footer="0.3"/>
  <pageSetup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EE88429E-EBD3-4D13-9CA0-D4E6CFBE3008}">
          <x14:formula1>
            <xm:f>Feuil_M!$A$3:$A$8</xm:f>
          </x14:formula1>
          <xm:sqref>B29:B36 H29:H36 F29:F36 D29:D36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D6588-D160-46AF-BC60-95593083425B}">
  <sheetPr codeName="Feuil1">
    <pageSetUpPr autoPageBreaks="0" fitToPage="1"/>
  </sheetPr>
  <dimension ref="B1:J33"/>
  <sheetViews>
    <sheetView showGridLines="0" showRowColHeaders="0" showRuler="0" zoomScaleNormal="100" zoomScalePageLayoutView="70" workbookViewId="0">
      <selection activeCell="B21" sqref="B21:C21"/>
    </sheetView>
  </sheetViews>
  <sheetFormatPr baseColWidth="10" defaultColWidth="9" defaultRowHeight="30" customHeight="1" x14ac:dyDescent="0.25"/>
  <cols>
    <col min="1" max="1" width="6.69921875" customWidth="1"/>
    <col min="2" max="2" width="30.19921875" customWidth="1"/>
    <col min="3" max="3" width="42.69921875" customWidth="1"/>
    <col min="4" max="4" width="11.69921875" customWidth="1"/>
    <col min="5" max="5" width="12.69921875" customWidth="1"/>
    <col min="6" max="6" width="7.5" customWidth="1"/>
    <col min="7" max="7" width="11.69921875" customWidth="1"/>
    <col min="8" max="8" width="12.69921875" customWidth="1"/>
    <col min="9" max="9" width="7.5" customWidth="1"/>
    <col min="10" max="10" width="5.8984375" customWidth="1"/>
  </cols>
  <sheetData>
    <row r="1" spans="2:10" ht="24" customHeight="1" x14ac:dyDescent="0.25">
      <c r="C1" s="10" t="s">
        <v>0</v>
      </c>
      <c r="D1" s="226"/>
      <c r="E1" s="226"/>
      <c r="F1" s="226"/>
      <c r="G1" s="226"/>
      <c r="H1" s="226"/>
      <c r="I1" s="226"/>
    </row>
    <row r="2" spans="2:10" ht="22.95" customHeight="1" x14ac:dyDescent="0.4">
      <c r="C2" s="175" t="s">
        <v>84</v>
      </c>
    </row>
    <row r="3" spans="2:10" ht="15.6" customHeight="1" x14ac:dyDescent="0.4">
      <c r="B3" s="23"/>
    </row>
    <row r="4" spans="2:10" ht="17.399999999999999" customHeight="1" x14ac:dyDescent="0.4">
      <c r="B4" s="23"/>
      <c r="D4" s="419" t="s">
        <v>85</v>
      </c>
      <c r="E4" s="419"/>
      <c r="F4" s="419"/>
      <c r="G4" s="419"/>
      <c r="H4" s="419"/>
      <c r="I4" s="419"/>
    </row>
    <row r="5" spans="2:10" ht="16.95" customHeight="1" x14ac:dyDescent="0.25">
      <c r="B5" t="s">
        <v>219</v>
      </c>
      <c r="D5" s="422" t="s">
        <v>51</v>
      </c>
      <c r="E5" s="420"/>
      <c r="F5" s="423"/>
      <c r="G5" s="420" t="s">
        <v>220</v>
      </c>
      <c r="H5" s="420"/>
      <c r="I5" s="421"/>
      <c r="J5" s="190"/>
    </row>
    <row r="6" spans="2:10" ht="15.6" customHeight="1" thickBot="1" x14ac:dyDescent="0.45">
      <c r="B6" s="175"/>
      <c r="D6" s="227" t="s">
        <v>86</v>
      </c>
      <c r="E6" s="246" t="s">
        <v>87</v>
      </c>
      <c r="F6" s="259" t="s">
        <v>205</v>
      </c>
      <c r="G6" s="258" t="s">
        <v>86</v>
      </c>
      <c r="H6" s="246" t="s">
        <v>87</v>
      </c>
      <c r="I6" s="250" t="s">
        <v>205</v>
      </c>
      <c r="J6" s="190"/>
    </row>
    <row r="7" spans="2:10" ht="19.95" customHeight="1" x14ac:dyDescent="0.25">
      <c r="B7" s="415" t="s">
        <v>29</v>
      </c>
      <c r="C7" s="416"/>
      <c r="D7" s="201"/>
      <c r="E7" s="197"/>
      <c r="F7" s="197"/>
      <c r="G7" s="197"/>
      <c r="H7" s="255"/>
      <c r="I7" s="228"/>
    </row>
    <row r="8" spans="2:10" ht="19.95" customHeight="1" x14ac:dyDescent="0.25">
      <c r="B8" s="307" t="s">
        <v>30</v>
      </c>
      <c r="C8" s="308"/>
      <c r="D8" s="262">
        <f>IF(SUBTOTAL(102,Tableau1[Résultats For1])=0,0,SUBTOTAL(101,Tableau1[Résultats For1]))</f>
        <v>0</v>
      </c>
      <c r="E8" s="247" t="str">
        <f ca="1">TEXT(Feuil_M!D86,"0") &amp; " dimensions /" &amp; TEXT(Feuil_M!$C86,"0")</f>
        <v>0 dimensions /8</v>
      </c>
      <c r="F8" s="257">
        <f ca="1">Feuil_M!D86/Feuil_M!$C86</f>
        <v>0</v>
      </c>
      <c r="G8" s="264">
        <f>IF(SUBTOTAL(102,Tableau1[Résultats For2])=0,0,SUBTOTAL(101,Tableau1[Résultats For2]))</f>
        <v>0</v>
      </c>
      <c r="H8" s="254" t="str">
        <f ca="1">TEXT(Feuil_M!E86,"0") &amp; " dimensions /" &amp; TEXT(Feuil_M!$C86,"0")</f>
        <v>0 dimensions /8</v>
      </c>
      <c r="I8" s="252">
        <f ca="1">Feuil_M!E86/Feuil_M!$C86</f>
        <v>0</v>
      </c>
    </row>
    <row r="9" spans="2:10" ht="19.95" customHeight="1" thickBot="1" x14ac:dyDescent="0.3">
      <c r="B9" s="307" t="s">
        <v>31</v>
      </c>
      <c r="C9" s="308"/>
      <c r="D9" s="263">
        <f>IF(SUBTOTAL(102,Tableau2[Résultats For1])=0,0,SUBTOTAL(101,Tableau2[Résultats For1]))</f>
        <v>0</v>
      </c>
      <c r="E9" s="248" t="str">
        <f ca="1">TEXT(Feuil_M!D87,"0") &amp; " dimensions /" &amp; TEXT(Feuil_M!$C87,"0")</f>
        <v>0 dimensions /8</v>
      </c>
      <c r="F9" s="257">
        <f ca="1">Feuil_M!D87/Feuil_M!$C87</f>
        <v>0</v>
      </c>
      <c r="G9" s="265">
        <f>IF(SUBTOTAL(102,Tableau2[Résultats For2])=0,0,SUBTOTAL(101,Tableau2[Résultats For2]))</f>
        <v>0</v>
      </c>
      <c r="H9" s="247" t="str">
        <f ca="1">TEXT(Feuil_M!E87,"0") &amp; " dimensions /" &amp; TEXT(Feuil_M!$C87,"0")</f>
        <v>0 dimensions /8</v>
      </c>
      <c r="I9" s="253">
        <f ca="1">Feuil_M!E87/Feuil_M!$C87</f>
        <v>0</v>
      </c>
      <c r="J9" s="205"/>
    </row>
    <row r="10" spans="2:10" ht="19.95" customHeight="1" thickBot="1" x14ac:dyDescent="0.3">
      <c r="B10" s="417" t="s">
        <v>221</v>
      </c>
      <c r="C10" s="418"/>
      <c r="D10" s="238">
        <f>SUM(D8:D9)</f>
        <v>0</v>
      </c>
      <c r="E10" s="261" t="str">
        <f ca="1">TEXT(SUM(Feuil_M!D86:'Feuil_M'!D87),"0") &amp; " dimensions /" &amp; TEXT(SUM(Feuil_M!$C86:'Feuil_M'!$C87),"0")</f>
        <v>0 dimensions /16</v>
      </c>
      <c r="F10" s="251">
        <f ca="1">SUM(Feuil_M!D86:'Feuil_M'!D87)/SUM(Feuil_M!$C86:'Feuil_M'!$C87)</f>
        <v>0</v>
      </c>
      <c r="G10" s="256">
        <f>SUM(G8:G9)</f>
        <v>0</v>
      </c>
      <c r="H10" s="261" t="str">
        <f ca="1">TEXT(SUM(Feuil_M!E86:'Feuil_M'!E87),"0") &amp; " dimensions /" &amp; TEXT(SUM(Feuil_M!$C86:'Feuil_M'!$C87),"0")</f>
        <v>0 dimensions /16</v>
      </c>
      <c r="I10" s="251">
        <f ca="1">SUM(Feuil_M!E86:'Feuil_M'!E87)/SUM(Feuil_M!$C86:'Feuil_M'!$C87)</f>
        <v>0</v>
      </c>
      <c r="J10" s="205"/>
    </row>
    <row r="11" spans="2:10" ht="19.95" customHeight="1" x14ac:dyDescent="0.25">
      <c r="B11" s="341" t="s">
        <v>196</v>
      </c>
      <c r="C11" s="342"/>
      <c r="D11" s="229"/>
      <c r="E11" s="229"/>
      <c r="F11" s="229"/>
      <c r="G11" s="229"/>
      <c r="H11" s="268"/>
      <c r="I11" s="230"/>
      <c r="J11" s="205"/>
    </row>
    <row r="12" spans="2:10" ht="19.95" customHeight="1" x14ac:dyDescent="0.25">
      <c r="B12" s="307" t="s">
        <v>32</v>
      </c>
      <c r="C12" s="308"/>
      <c r="D12" s="262">
        <f>IF(SUBTOTAL(102,Tableau3[Résultats For1])=0,0,SUBTOTAL(101,Tableau3[Résultats For1]))</f>
        <v>0</v>
      </c>
      <c r="E12" s="247" t="str">
        <f ca="1">TEXT(Feuil_M!D88,"0") &amp; " dimensions /" &amp; TEXT(Feuil_M!$C88,"0")</f>
        <v>0 dimensions /10</v>
      </c>
      <c r="F12" s="257">
        <f ca="1">Feuil_M!D88/Feuil_M!$C88</f>
        <v>0</v>
      </c>
      <c r="G12" s="264">
        <f>IF(SUBTOTAL(102,Tableau3[Résultats For2])=0,0,SUBTOTAL(101,Tableau3[Résultats For2]))</f>
        <v>0</v>
      </c>
      <c r="H12" s="254" t="str">
        <f ca="1">TEXT(Feuil_M!E88,"0") &amp; " dimensions /" &amp; TEXT(Feuil_M!$C88,"0")</f>
        <v>0 dimensions /10</v>
      </c>
      <c r="I12" s="237">
        <f ca="1">Feuil_M!E88/Feuil_M!$C88</f>
        <v>0</v>
      </c>
    </row>
    <row r="13" spans="2:10" ht="19.95" customHeight="1" x14ac:dyDescent="0.25">
      <c r="B13" s="307" t="s">
        <v>33</v>
      </c>
      <c r="C13" s="308"/>
      <c r="D13" s="262">
        <f>IF(SUBTOTAL(102,Tableau4[Résultats For1])=0,0,SUBTOTAL(101,Tableau4[Résultats For1]))</f>
        <v>0</v>
      </c>
      <c r="E13" s="247" t="str">
        <f ca="1">TEXT(Feuil_M!D89,"0") &amp; " dimensions /" &amp; TEXT(Feuil_M!$C89,"0")</f>
        <v>0 dimensions /6</v>
      </c>
      <c r="F13" s="257">
        <f ca="1">Feuil_M!D89/Feuil_M!$C89</f>
        <v>0</v>
      </c>
      <c r="G13" s="264">
        <f>IF(SUBTOTAL(102,Tableau4[Résultats For2])=0,0,SUBTOTAL(101,Tableau4[Résultats For2]))</f>
        <v>0</v>
      </c>
      <c r="H13" s="254" t="str">
        <f ca="1">TEXT(Feuil_M!E89,"0") &amp; " dimensions /" &amp; TEXT(Feuil_M!$C89,"0")</f>
        <v>0 dimensions /6</v>
      </c>
      <c r="I13" s="237">
        <f ca="1">Feuil_M!E89/Feuil_M!$C89</f>
        <v>0</v>
      </c>
    </row>
    <row r="14" spans="2:10" ht="19.95" customHeight="1" x14ac:dyDescent="0.25">
      <c r="B14" s="307" t="s">
        <v>34</v>
      </c>
      <c r="C14" s="308"/>
      <c r="D14" s="262">
        <f>IF(SUBTOTAL(102,Tableau5[Résultats For1])=0,0,SUBTOTAL(101,Tableau5[Résultats For1]))</f>
        <v>0</v>
      </c>
      <c r="E14" s="247" t="str">
        <f ca="1">TEXT(Feuil_M!D90,"0") &amp; " dimensions /" &amp; TEXT(Feuil_M!$C90,"0")</f>
        <v>0 dimensions /9</v>
      </c>
      <c r="F14" s="257">
        <f ca="1">Feuil_M!D90/Feuil_M!$C90</f>
        <v>0</v>
      </c>
      <c r="G14" s="264">
        <f>IF(SUBTOTAL(102,Tableau5[Résultats For2])=0,0,SUBTOTAL(101,Tableau5[Résultats For2]))</f>
        <v>0</v>
      </c>
      <c r="H14" s="254" t="str">
        <f ca="1">TEXT(Feuil_M!E90,"0") &amp; " dimensions /" &amp; TEXT(Feuil_M!$C90,"0")</f>
        <v>0 dimensions /9</v>
      </c>
      <c r="I14" s="237">
        <f ca="1">Feuil_M!E90/Feuil_M!$C90</f>
        <v>0</v>
      </c>
    </row>
    <row r="15" spans="2:10" ht="19.95" customHeight="1" x14ac:dyDescent="0.25">
      <c r="B15" s="307" t="s">
        <v>35</v>
      </c>
      <c r="C15" s="308"/>
      <c r="D15" s="262">
        <f>IF(SUBTOTAL(102,Tableau6[Résultats For1])=0,0,SUBTOTAL(101,Tableau6[Résultats For1]))</f>
        <v>0</v>
      </c>
      <c r="E15" s="247" t="str">
        <f ca="1">TEXT(Feuil_M!D91,"0") &amp; " dimensions /" &amp; TEXT(Feuil_M!$C91,"0")</f>
        <v>0 dimensions /9</v>
      </c>
      <c r="F15" s="257">
        <f ca="1">Feuil_M!D91/Feuil_M!$C91</f>
        <v>0</v>
      </c>
      <c r="G15" s="264">
        <f>IF(SUBTOTAL(102,Tableau6[Résultats For2])=0,0,SUBTOTAL(101,Tableau6[Résultats For2]))</f>
        <v>0</v>
      </c>
      <c r="H15" s="254" t="str">
        <f ca="1">TEXT(Feuil_M!E91,"0") &amp; " dimensions /" &amp; TEXT(Feuil_M!$C91,"0")</f>
        <v>0 dimensions /9</v>
      </c>
      <c r="I15" s="237">
        <f ca="1">Feuil_M!E91/Feuil_M!$C91</f>
        <v>0</v>
      </c>
    </row>
    <row r="16" spans="2:10" ht="19.95" customHeight="1" x14ac:dyDescent="0.25">
      <c r="B16" s="307" t="s">
        <v>36</v>
      </c>
      <c r="C16" s="308"/>
      <c r="D16" s="262">
        <f>IF(SUBTOTAL(102,Tableau7[Résultats For1])=0,0,SUBTOTAL(101,Tableau7[Résultats For1]))</f>
        <v>0</v>
      </c>
      <c r="E16" s="247" t="str">
        <f ca="1">TEXT(Feuil_M!D92,"0") &amp; " dimensions /" &amp; TEXT(Feuil_M!$C92,"0")</f>
        <v>0 dimensions /8</v>
      </c>
      <c r="F16" s="257">
        <f ca="1">Feuil_M!D92/Feuil_M!$C92</f>
        <v>0</v>
      </c>
      <c r="G16" s="264">
        <f>IF(SUBTOTAL(102,Tableau7[Résultats For2])=0,0,SUBTOTAL(101,Tableau7[Résultats For2]))</f>
        <v>0</v>
      </c>
      <c r="H16" s="254" t="str">
        <f ca="1">TEXT(Feuil_M!E92,"0") &amp; " dimensions /" &amp; TEXT(Feuil_M!$C92,"0")</f>
        <v>0 dimensions /8</v>
      </c>
      <c r="I16" s="237">
        <f ca="1">Feuil_M!E92/Feuil_M!$C92</f>
        <v>0</v>
      </c>
    </row>
    <row r="17" spans="2:9" ht="19.95" customHeight="1" thickBot="1" x14ac:dyDescent="0.3">
      <c r="B17" s="307" t="s">
        <v>37</v>
      </c>
      <c r="C17" s="308"/>
      <c r="D17" s="262">
        <f>IF(SUBTOTAL(102,Tableau8[Résultats For1])=0,0,SUBTOTAL(101,Tableau8[Résultats For1]))</f>
        <v>0</v>
      </c>
      <c r="E17" s="247" t="str">
        <f ca="1">TEXT(Feuil_M!D93,"0") &amp; " dimensions /" &amp; TEXT(Feuil_M!$C93,"0")</f>
        <v>0 dimensions /9</v>
      </c>
      <c r="F17" s="257">
        <f ca="1">Feuil_M!D93/Feuil_M!$C93</f>
        <v>0</v>
      </c>
      <c r="G17" s="264">
        <f>IF(SUBTOTAL(102,Tableau8[Résultats For2])=0,0,SUBTOTAL(101,Tableau8[Résultats For2]))</f>
        <v>0</v>
      </c>
      <c r="H17" s="254" t="str">
        <f ca="1">TEXT(Feuil_M!E93,"0") &amp; " dimensions /" &amp; TEXT(Feuil_M!$C93,"0")</f>
        <v>0 dimensions /9</v>
      </c>
      <c r="I17" s="237">
        <f ca="1">Feuil_M!E93/Feuil_M!$C93</f>
        <v>0</v>
      </c>
    </row>
    <row r="18" spans="2:9" ht="19.95" customHeight="1" thickBot="1" x14ac:dyDescent="0.3">
      <c r="B18" s="417" t="s">
        <v>221</v>
      </c>
      <c r="C18" s="418"/>
      <c r="D18" s="240">
        <f>SUM(D12:D17)</f>
        <v>0</v>
      </c>
      <c r="E18" s="261" t="str">
        <f ca="1">TEXT(SUM(Feuil_M!D88:'Feuil_M'!D93),"0") &amp; " dimensions /" &amp; TEXT(SUM(Feuil_M!$C88:'Feuil_M'!$C93),"0")</f>
        <v>0 dimensions /51</v>
      </c>
      <c r="F18" s="240">
        <f ca="1">SUM(Feuil_M!D88:'Feuil_M'!D93)/SUM(Feuil_M!$C88:'Feuil_M'!$C93)</f>
        <v>0</v>
      </c>
      <c r="G18" s="285">
        <f>SUM(G12:G17)</f>
        <v>0</v>
      </c>
      <c r="H18" s="261" t="str">
        <f ca="1">TEXT(SUM(Feuil_M!E88:'Feuil_M'!E93),"0") &amp; " dimensions /" &amp; TEXT(SUM(Feuil_M!$C88:'Feuil_M'!$C93),"0")</f>
        <v>0 dimensions /51</v>
      </c>
      <c r="I18" s="240">
        <f ca="1">SUM(Feuil_M!E88:'Feuil_M'!E93)/SUM(Feuil_M!$C88:'Feuil_M'!$C93)</f>
        <v>0</v>
      </c>
    </row>
    <row r="19" spans="2:9" ht="19.95" customHeight="1" x14ac:dyDescent="0.25">
      <c r="B19" s="343" t="s">
        <v>197</v>
      </c>
      <c r="C19" s="344"/>
      <c r="D19" s="231"/>
      <c r="E19" s="241"/>
      <c r="F19" s="241"/>
      <c r="G19" s="241"/>
      <c r="H19" s="267"/>
      <c r="I19" s="232"/>
    </row>
    <row r="20" spans="2:9" ht="19.95" customHeight="1" x14ac:dyDescent="0.25">
      <c r="B20" s="307" t="s">
        <v>38</v>
      </c>
      <c r="C20" s="308"/>
      <c r="D20" s="262">
        <f>IF(SUBTOTAL(102,Tableau9[Résultats For1])=0,0,SUBTOTAL(101,Tableau9[Résultats For1]))</f>
        <v>0</v>
      </c>
      <c r="E20" s="247" t="str">
        <f ca="1">TEXT(Feuil_M!D94,"0") &amp; " dimensions /" &amp; TEXT(Feuil_M!$C94,"0")</f>
        <v>0 dimensions /8</v>
      </c>
      <c r="F20" s="260">
        <f ca="1">Feuil_M!D94/Feuil_M!$C94</f>
        <v>0</v>
      </c>
      <c r="G20" s="264">
        <f>IF(SUBTOTAL(102,Tableau9[Résultats For2])=0,0,SUBTOTAL(101,Tableau9[Résultats For2]))</f>
        <v>0</v>
      </c>
      <c r="H20" s="270" t="str">
        <f ca="1">TEXT(Feuil_M!E94,"0") &amp; " dimensions /" &amp; TEXT(Feuil_M!$C94,"0")</f>
        <v>0 dimensions /8</v>
      </c>
      <c r="I20" s="269">
        <f ca="1">Feuil_M!E94/Feuil_M!$C94</f>
        <v>0</v>
      </c>
    </row>
    <row r="21" spans="2:9" ht="19.95" customHeight="1" thickBot="1" x14ac:dyDescent="0.3">
      <c r="B21" s="307" t="s">
        <v>39</v>
      </c>
      <c r="C21" s="308"/>
      <c r="D21" s="262">
        <f>IF(SUBTOTAL(102,Tableau10[Résultats For1])=0,0,SUBTOTAL(101,Tableau10[Résultats For1]))</f>
        <v>0</v>
      </c>
      <c r="E21" s="247" t="str">
        <f ca="1">TEXT(Feuil_M!D95,"0") &amp; " dimensions /" &amp; TEXT(Feuil_M!$C95,"0")</f>
        <v>0 dimensions /7</v>
      </c>
      <c r="F21" s="260">
        <f ca="1">Feuil_M!D95/Feuil_M!$C95</f>
        <v>0</v>
      </c>
      <c r="G21" s="264">
        <f>IF(SUBTOTAL(102,Tableau10[Résultats For2])=0,0,SUBTOTAL(101,Tableau10[Résultats For2]))</f>
        <v>0</v>
      </c>
      <c r="H21" s="271" t="str">
        <f ca="1">TEXT(Feuil_M!E95,"0") &amp; " dimensions /" &amp; TEXT(Feuil_M!$C95,"0")</f>
        <v>0 dimensions /7</v>
      </c>
      <c r="I21" s="269">
        <f ca="1">Feuil_M!E95/Feuil_M!$C95</f>
        <v>0</v>
      </c>
    </row>
    <row r="22" spans="2:9" ht="19.95" customHeight="1" thickBot="1" x14ac:dyDescent="0.3">
      <c r="B22" s="417" t="s">
        <v>221</v>
      </c>
      <c r="C22" s="418"/>
      <c r="D22" s="238">
        <f>SUM(D20:D21)</f>
        <v>0</v>
      </c>
      <c r="E22" s="261" t="str">
        <f ca="1">TEXT(SUM(Feuil_M!D94:'Feuil_M'!D95),"0") &amp; " dimensions /" &amp; TEXT(SUM(Feuil_M!$C94:'Feuil_M'!$C95),"0")</f>
        <v>0 dimensions /15</v>
      </c>
      <c r="F22" s="238">
        <f ca="1">SUM(Feuil_M!D94:'Feuil_M'!D95)/SUM(Feuil_M!$C94:'Feuil_M'!$C95)</f>
        <v>0</v>
      </c>
      <c r="G22" s="256">
        <f>SUM(G20:G21)</f>
        <v>0</v>
      </c>
      <c r="H22" s="261" t="str">
        <f ca="1">TEXT(SUM(Feuil_M!E94:'Feuil_M'!E95),"0") &amp; " dimensions /" &amp; TEXT(SUM(Feuil_M!$C94:'Feuil_M'!$C95),"0")</f>
        <v>0 dimensions /15</v>
      </c>
      <c r="I22" s="238">
        <f ca="1">SUM(Feuil_M!E94:'Feuil_M'!E95)/SUM(Feuil_M!$C94:'Feuil_M'!$C95)</f>
        <v>0</v>
      </c>
    </row>
    <row r="23" spans="2:9" ht="19.95" customHeight="1" x14ac:dyDescent="0.25">
      <c r="B23" s="345" t="s">
        <v>198</v>
      </c>
      <c r="C23" s="346"/>
      <c r="D23" s="266"/>
      <c r="E23" s="242"/>
      <c r="F23" s="242"/>
      <c r="G23" s="242"/>
      <c r="H23" s="266"/>
      <c r="I23" s="233"/>
    </row>
    <row r="24" spans="2:9" ht="19.95" customHeight="1" x14ac:dyDescent="0.25">
      <c r="B24" s="307" t="s">
        <v>40</v>
      </c>
      <c r="C24" s="308"/>
      <c r="D24" s="286">
        <f>IF(SUBTOTAL(102,Tableau11[Résultats For1])=0,0,SUBTOTAL(101,Tableau11[Résultats For1]))</f>
        <v>0</v>
      </c>
      <c r="E24" s="287" t="str">
        <f ca="1">TEXT(Feuil_M!D96,"0") &amp; " dimensions /" &amp; TEXT(Feuil_M!$C96,"0")</f>
        <v>0 dimensions /9</v>
      </c>
      <c r="F24" s="288">
        <f ca="1">Feuil_M!D96/Feuil_M!$C96</f>
        <v>0</v>
      </c>
      <c r="G24" s="289">
        <f>IF(SUBTOTAL(102,Tableau11[Résultats For2])=0,0,SUBTOTAL(101,Tableau11[Résultats For2]))</f>
        <v>0</v>
      </c>
      <c r="H24" s="290" t="str">
        <f ca="1">TEXT(Feuil_M!E96,"0") &amp; " dimensions /" &amp; TEXT(Feuil_M!$C96,"0")</f>
        <v>0 dimensions /9</v>
      </c>
      <c r="I24" s="269">
        <f ca="1">Feuil_M!E96/Feuil_M!$C96</f>
        <v>0</v>
      </c>
    </row>
    <row r="25" spans="2:9" ht="19.95" customHeight="1" x14ac:dyDescent="0.25">
      <c r="B25" s="348" t="s">
        <v>41</v>
      </c>
      <c r="C25" s="349"/>
      <c r="D25" s="234"/>
      <c r="E25" s="243"/>
      <c r="F25" s="243"/>
      <c r="G25" s="243"/>
      <c r="H25" s="272"/>
      <c r="I25" s="235"/>
    </row>
    <row r="26" spans="2:9" ht="19.95" customHeight="1" x14ac:dyDescent="0.25">
      <c r="B26" s="307" t="s">
        <v>42</v>
      </c>
      <c r="C26" s="308"/>
      <c r="D26" s="262">
        <f>IF(SUBTOTAL(102,Tableau12[Résultats For1])=0,0,SUBTOTAL(101,Tableau12[Résultats For1]))</f>
        <v>0</v>
      </c>
      <c r="E26" s="247" t="str">
        <f ca="1">TEXT(Feuil_M!D97,"0") &amp; " dimensions /" &amp; TEXT(Feuil_M!$C97,"0")</f>
        <v>0 dimensions /12</v>
      </c>
      <c r="F26" s="260">
        <f ca="1">Feuil_M!D97/Feuil_M!$C97</f>
        <v>0</v>
      </c>
      <c r="G26" s="264">
        <f>IF(SUBTOTAL(102,Tableau12[Résultats For2])=0,0,SUBTOTAL(101,Tableau12[Résultats For2]))</f>
        <v>0</v>
      </c>
      <c r="H26" s="270" t="str">
        <f ca="1">TEXT(Feuil_M!E97,"0") &amp; " dimensions /" &amp; TEXT(Feuil_M!$C97,"0")</f>
        <v>0 dimensions /12</v>
      </c>
      <c r="I26" s="269">
        <f ca="1">Feuil_M!E97/Feuil_M!$C97</f>
        <v>0</v>
      </c>
    </row>
    <row r="27" spans="2:9" ht="19.95" customHeight="1" thickBot="1" x14ac:dyDescent="0.3">
      <c r="B27" s="307" t="s">
        <v>43</v>
      </c>
      <c r="C27" s="308"/>
      <c r="D27" s="262">
        <f>IF(SUBTOTAL(102,Tableau13[Résultats For1])=0,0,SUBTOTAL(101,Tableau13[Résultats For1]))</f>
        <v>0</v>
      </c>
      <c r="E27" s="247" t="str">
        <f ca="1">TEXT(Feuil_M!D98,"0") &amp; " dimensions /" &amp; TEXT(Feuil_M!$C98,"0")</f>
        <v>0 dimensions /8</v>
      </c>
      <c r="F27" s="260">
        <f ca="1">Feuil_M!D98/Feuil_M!$C98</f>
        <v>0</v>
      </c>
      <c r="G27" s="264">
        <f>IF(SUBTOTAL(102,Tableau13[Résultats For2])=0,0,SUBTOTAL(101,Tableau13[Résultats For2]))</f>
        <v>0</v>
      </c>
      <c r="H27" s="270" t="str">
        <f ca="1">TEXT(Feuil_M!E98,"0") &amp; " dimensions /" &amp; TEXT(Feuil_M!$C98,"0")</f>
        <v>0 dimensions /8</v>
      </c>
      <c r="I27" s="269">
        <f ca="1">Feuil_M!E98/Feuil_M!$C98</f>
        <v>0</v>
      </c>
    </row>
    <row r="28" spans="2:9" ht="19.95" customHeight="1" thickBot="1" x14ac:dyDescent="0.3">
      <c r="B28" s="411" t="s">
        <v>221</v>
      </c>
      <c r="C28" s="412"/>
      <c r="D28" s="239">
        <f>SUM(D26:D27)</f>
        <v>0</v>
      </c>
      <c r="E28" s="261" t="str">
        <f ca="1">TEXT(SUM(Feuil_M!D97:'Feuil_M'!D98),"0") &amp; " dimensions /" &amp; TEXT(SUM(Feuil_M!$C97:'Feuil_M'!$C98),"0")</f>
        <v>0 dimensions /20</v>
      </c>
      <c r="F28" s="244">
        <f ca="1">SUM(Feuil_M!D97:'Feuil_M'!D98)/SUM(Feuil_M!$C97:'Feuil_M'!$C98)</f>
        <v>0</v>
      </c>
      <c r="G28" s="244">
        <f>SUM(G26:G27)</f>
        <v>0</v>
      </c>
      <c r="H28" s="261" t="str">
        <f ca="1">TEXT(SUM(Feuil_M!E97:'Feuil_M'!E98),"0") &amp; " dimensions /" &amp; TEXT(SUM(Feuil_M!$C97:'Feuil_M'!$C98),"0")</f>
        <v>0 dimensions /20</v>
      </c>
      <c r="I28" s="239">
        <f ca="1">SUM(Feuil_M!E97:'Feuil_M'!E98)/SUM(Feuil_M!$C97:'Feuil_M'!$C98)</f>
        <v>0</v>
      </c>
    </row>
    <row r="29" spans="2:9" ht="19.95" customHeight="1" thickBot="1" x14ac:dyDescent="0.3">
      <c r="B29" s="413" t="s">
        <v>222</v>
      </c>
      <c r="C29" s="414"/>
      <c r="D29" s="291">
        <f>SUM(D10,D18,D22,D24,D28)/65</f>
        <v>0</v>
      </c>
      <c r="E29" s="273" t="str">
        <f ca="1">TEXT(SUM(Feuil_M!D86:'Feuil_M'!D98),"0") &amp; " dimensions /" &amp; TEXT(SUM(Feuil_M!$C86:'Feuil_M'!$C98),"0")</f>
        <v>0 dimensions /111</v>
      </c>
      <c r="F29" s="245">
        <f ca="1">SUM(Feuil_M!D86:'Feuil_M'!D98)/SUM(Feuil_M!$C86:'Feuil_M'!$C98)</f>
        <v>0</v>
      </c>
      <c r="G29" s="291">
        <f>SUM(G10,G18,G22,G24,G28)/65</f>
        <v>0</v>
      </c>
      <c r="H29" s="273" t="str">
        <f ca="1">TEXT(SUM(Feuil_M!E86:'Feuil_M'!E98),"0") &amp; " dimensions /" &amp; TEXT(SUM(Feuil_M!$C86:'Feuil_M'!$C98),"0")</f>
        <v>0 dimensions /111</v>
      </c>
      <c r="I29" s="236">
        <f ca="1">SUM(Feuil_M!E86:'Feuil_M'!E98)/SUM(Feuil_M!$C86:'Feuil_M'!$C98)</f>
        <v>0</v>
      </c>
    </row>
    <row r="30" spans="2:9" ht="19.95" customHeight="1" x14ac:dyDescent="0.25"/>
    <row r="31" spans="2:9" ht="19.95" customHeight="1" x14ac:dyDescent="0.25"/>
    <row r="32" spans="2:9" ht="19.95" customHeight="1" x14ac:dyDescent="0.25"/>
    <row r="33" ht="19.95" customHeight="1" x14ac:dyDescent="0.25"/>
  </sheetData>
  <sheetProtection algorithmName="SHA-512" hashValue="GG3DJHf7FeiYTgCTGEDAiYBEJjSPp39IAo0zzMMf5Z3rElaQtFtqV1uAZUX0d8ZOldaUTiA7qy8LT8O34jsJjQ==" saltValue="u98cDjfXK777AWWxPf5QZg==" spinCount="100000" sheet="1" objects="1" scenarios="1" selectLockedCells="1"/>
  <dataConsolidate/>
  <mergeCells count="26">
    <mergeCell ref="D4:I4"/>
    <mergeCell ref="B21:C21"/>
    <mergeCell ref="B8:C8"/>
    <mergeCell ref="B9:C9"/>
    <mergeCell ref="B11:C11"/>
    <mergeCell ref="B12:C12"/>
    <mergeCell ref="B13:C13"/>
    <mergeCell ref="B14:C14"/>
    <mergeCell ref="G5:I5"/>
    <mergeCell ref="D5:F5"/>
    <mergeCell ref="B28:C28"/>
    <mergeCell ref="B29:C29"/>
    <mergeCell ref="B7:C7"/>
    <mergeCell ref="B10:C10"/>
    <mergeCell ref="B18:C18"/>
    <mergeCell ref="B22:C22"/>
    <mergeCell ref="B23:C23"/>
    <mergeCell ref="B24:C24"/>
    <mergeCell ref="B25:C25"/>
    <mergeCell ref="B26:C26"/>
    <mergeCell ref="B27:C27"/>
    <mergeCell ref="B15:C15"/>
    <mergeCell ref="B16:C16"/>
    <mergeCell ref="B17:C17"/>
    <mergeCell ref="B19:C19"/>
    <mergeCell ref="B20:C20"/>
  </mergeCells>
  <conditionalFormatting sqref="F8:F10 I8:I10 F24 I24 F12:F18 I12:I18 F20:F22 I20:I22 F26:F29 I26:I29">
    <cfRule type="iconSet" priority="3">
      <iconSet iconSet="3Symbols2" showValue="0">
        <cfvo type="percent" val="0"/>
        <cfvo type="num" val="0"/>
        <cfvo type="num" val="1"/>
      </iconSet>
    </cfRule>
  </conditionalFormatting>
  <printOptions horizontalCentered="1"/>
  <pageMargins left="0.23622047244094491" right="0.23622047244094491" top="0.74803149606299213" bottom="0.74803149606299213" header="0.31496062992125984" footer="0.31496062992125984"/>
  <pageSetup scale="82" fitToHeight="0" orientation="landscape" r:id="rId1"/>
  <headerFooter differentFirst="1">
    <oddFoote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418E0-575B-4355-A17B-DF1E15ADE1FE}">
  <sheetPr codeName="Feuil15">
    <pageSetUpPr autoPageBreaks="0" fitToPage="1"/>
  </sheetPr>
  <dimension ref="B1:J33"/>
  <sheetViews>
    <sheetView showGridLines="0" showRowColHeaders="0" showRuler="0" zoomScaleNormal="100" zoomScalePageLayoutView="70" workbookViewId="0">
      <selection activeCell="B21" sqref="B21:C21"/>
    </sheetView>
  </sheetViews>
  <sheetFormatPr baseColWidth="10" defaultColWidth="9" defaultRowHeight="30" customHeight="1" x14ac:dyDescent="0.25"/>
  <cols>
    <col min="1" max="1" width="6.69921875" customWidth="1"/>
    <col min="2" max="2" width="30.19921875" customWidth="1"/>
    <col min="3" max="3" width="42.69921875" customWidth="1"/>
    <col min="4" max="4" width="11.69921875" customWidth="1"/>
    <col min="5" max="5" width="12.69921875" customWidth="1"/>
    <col min="6" max="6" width="7.5" customWidth="1"/>
    <col min="7" max="7" width="11.69921875" customWidth="1"/>
    <col min="8" max="8" width="12.69921875" customWidth="1"/>
    <col min="9" max="9" width="7.5" customWidth="1"/>
    <col min="10" max="10" width="5.8984375" customWidth="1"/>
    <col min="11" max="11" width="11.3984375" bestFit="1" customWidth="1"/>
  </cols>
  <sheetData>
    <row r="1" spans="2:10" ht="24" customHeight="1" x14ac:dyDescent="0.25">
      <c r="C1" s="10" t="s">
        <v>0</v>
      </c>
      <c r="D1" s="226"/>
      <c r="E1" s="226"/>
      <c r="F1" s="226"/>
      <c r="G1" s="226"/>
      <c r="H1" s="226"/>
      <c r="I1" s="226"/>
    </row>
    <row r="2" spans="2:10" ht="22.95" customHeight="1" x14ac:dyDescent="0.4">
      <c r="C2" s="175" t="s">
        <v>88</v>
      </c>
    </row>
    <row r="3" spans="2:10" ht="15.6" customHeight="1" x14ac:dyDescent="0.4">
      <c r="B3" s="23"/>
    </row>
    <row r="4" spans="2:10" ht="17.399999999999999" customHeight="1" x14ac:dyDescent="0.4">
      <c r="B4" s="23"/>
      <c r="D4" s="419" t="s">
        <v>85</v>
      </c>
      <c r="E4" s="419"/>
      <c r="F4" s="419"/>
      <c r="G4" s="419"/>
      <c r="H4" s="419"/>
      <c r="I4" s="419"/>
    </row>
    <row r="5" spans="2:10" ht="16.95" customHeight="1" x14ac:dyDescent="0.25">
      <c r="B5" t="s">
        <v>219</v>
      </c>
      <c r="D5" s="422" t="s">
        <v>51</v>
      </c>
      <c r="E5" s="420"/>
      <c r="F5" s="423"/>
      <c r="G5" s="420" t="s">
        <v>220</v>
      </c>
      <c r="H5" s="420"/>
      <c r="I5" s="421"/>
      <c r="J5" s="190"/>
    </row>
    <row r="6" spans="2:10" ht="15.6" customHeight="1" thickBot="1" x14ac:dyDescent="0.45">
      <c r="B6" s="175"/>
      <c r="D6" s="227" t="s">
        <v>86</v>
      </c>
      <c r="E6" s="246" t="s">
        <v>87</v>
      </c>
      <c r="F6" s="259" t="s">
        <v>205</v>
      </c>
      <c r="G6" s="258" t="s">
        <v>86</v>
      </c>
      <c r="H6" s="246" t="s">
        <v>87</v>
      </c>
      <c r="I6" s="250" t="s">
        <v>205</v>
      </c>
      <c r="J6" s="190"/>
    </row>
    <row r="7" spans="2:10" ht="19.95" customHeight="1" x14ac:dyDescent="0.25">
      <c r="B7" s="415" t="s">
        <v>29</v>
      </c>
      <c r="C7" s="416"/>
      <c r="D7" s="201"/>
      <c r="E7" s="197"/>
      <c r="F7" s="197"/>
      <c r="G7" s="197"/>
      <c r="H7" s="255"/>
      <c r="I7" s="228"/>
    </row>
    <row r="8" spans="2:10" ht="19.95" customHeight="1" x14ac:dyDescent="0.25">
      <c r="B8" s="307" t="s">
        <v>30</v>
      </c>
      <c r="C8" s="308"/>
      <c r="D8" s="262">
        <f>IF(SUBTOTAL(102,Tableau1[Résultats Som1])=0,0,SUBTOTAL(101,Tableau1[Résultats Som1]))</f>
        <v>0</v>
      </c>
      <c r="E8" s="247" t="str">
        <f ca="1">TEXT(Feuil_M!F86,"0") &amp; " dimensions /" &amp; TEXT(Feuil_M!$C86,"0")</f>
        <v>0 dimensions /8</v>
      </c>
      <c r="F8" s="257">
        <f ca="1">Feuil_M!F86/Feuil_M!$C86</f>
        <v>0</v>
      </c>
      <c r="G8" s="264">
        <f>IF(SUBTOTAL(102,Tableau1[Résultats Som2])=0,0,SUBTOTAL(101,Tableau1[Résultats Som2]))</f>
        <v>0</v>
      </c>
      <c r="H8" s="254" t="str">
        <f ca="1">TEXT(Feuil_M!G86,"0") &amp; " dimensions /" &amp; TEXT(Feuil_M!$C86,"0")</f>
        <v>0 dimensions /8</v>
      </c>
      <c r="I8" s="252">
        <f ca="1">Feuil_M!G86/Feuil_M!$C86</f>
        <v>0</v>
      </c>
    </row>
    <row r="9" spans="2:10" ht="19.95" customHeight="1" thickBot="1" x14ac:dyDescent="0.3">
      <c r="B9" s="307" t="s">
        <v>31</v>
      </c>
      <c r="C9" s="308"/>
      <c r="D9" s="263">
        <f>IF(SUBTOTAL(102,Tableau2[Résultats Som1])=0,0,SUBTOTAL(101,Tableau2[Résultats Som1]))</f>
        <v>0</v>
      </c>
      <c r="E9" s="248" t="str">
        <f ca="1">TEXT(Feuil_M!F87,"0") &amp; " dimensions /" &amp; TEXT(Feuil_M!$C87,"0")</f>
        <v>0 dimensions /8</v>
      </c>
      <c r="F9" s="257">
        <f ca="1">Feuil_M!F87/Feuil_M!$C87</f>
        <v>0</v>
      </c>
      <c r="G9" s="265">
        <f>IF(SUBTOTAL(102,Tableau2[Résultats Som2])=0,0,SUBTOTAL(101,Tableau2[Résultats Som2]))</f>
        <v>0</v>
      </c>
      <c r="H9" s="247" t="str">
        <f ca="1">TEXT(Feuil_M!G87,"0") &amp; " dimensions /" &amp; TEXT(Feuil_M!$C87,"0")</f>
        <v>0 dimensions /8</v>
      </c>
      <c r="I9" s="253">
        <f ca="1">Feuil_M!G87/Feuil_M!$C87</f>
        <v>0</v>
      </c>
      <c r="J9" s="205"/>
    </row>
    <row r="10" spans="2:10" ht="19.95" customHeight="1" thickBot="1" x14ac:dyDescent="0.3">
      <c r="B10" s="417" t="s">
        <v>221</v>
      </c>
      <c r="C10" s="418"/>
      <c r="D10" s="238">
        <f>SUM(D8:D9)</f>
        <v>0</v>
      </c>
      <c r="E10" s="261" t="str">
        <f ca="1">TEXT(SUM(Feuil_M!F86:'Feuil_M'!F87),"0") &amp; " dimensions /" &amp; TEXT(SUM(Feuil_M!$C86:'Feuil_M'!$C87),"0")</f>
        <v>0 dimensions /16</v>
      </c>
      <c r="F10" s="251">
        <f ca="1">SUM(Feuil_M!F86:'Feuil_M'!F87)/SUM(Feuil_M!$C86:'Feuil_M'!$C87)</f>
        <v>0</v>
      </c>
      <c r="G10" s="256">
        <f>SUM(G8:G9)</f>
        <v>0</v>
      </c>
      <c r="H10" s="261" t="str">
        <f ca="1">TEXT(SUM(Feuil_M!G86:'Feuil_M'!G87),"0") &amp; " dimensions /" &amp; TEXT(SUM(Feuil_M!$C86:'Feuil_M'!$C87),"0")</f>
        <v>0 dimensions /16</v>
      </c>
      <c r="I10" s="251">
        <f ca="1">SUM(Feuil_M!G86:'Feuil_M'!G87)/SUM(Feuil_M!$C86:'Feuil_M'!$C87)</f>
        <v>0</v>
      </c>
      <c r="J10" s="205"/>
    </row>
    <row r="11" spans="2:10" ht="19.95" customHeight="1" x14ac:dyDescent="0.25">
      <c r="B11" s="341" t="s">
        <v>196</v>
      </c>
      <c r="C11" s="342"/>
      <c r="D11" s="229"/>
      <c r="E11" s="229"/>
      <c r="F11" s="229"/>
      <c r="G11" s="229"/>
      <c r="H11" s="268"/>
      <c r="I11" s="230"/>
      <c r="J11" s="205"/>
    </row>
    <row r="12" spans="2:10" ht="19.95" customHeight="1" x14ac:dyDescent="0.25">
      <c r="B12" s="307" t="s">
        <v>32</v>
      </c>
      <c r="C12" s="308"/>
      <c r="D12" s="262">
        <f>IF(SUBTOTAL(102,Tableau3[Résultats Som1])=0,0,SUBTOTAL(101,Tableau3[Résultats Som1]))</f>
        <v>0</v>
      </c>
      <c r="E12" s="247" t="str">
        <f ca="1">TEXT(Feuil_M!F88,"0") &amp; " dimensions /" &amp; TEXT(Feuil_M!$C88,"0")</f>
        <v>0 dimensions /10</v>
      </c>
      <c r="F12" s="257">
        <f ca="1">Feuil_M!F88/Feuil_M!$C88</f>
        <v>0</v>
      </c>
      <c r="G12" s="264">
        <f>IF(SUBTOTAL(102,Tableau3[Résultats Som2])=0,0,SUBTOTAL(101,Tableau3[Résultats Som2]))</f>
        <v>0</v>
      </c>
      <c r="H12" s="254" t="str">
        <f ca="1">TEXT(Feuil_M!G88,"0") &amp; " dimensions /" &amp; TEXT(Feuil_M!$C88,"0")</f>
        <v>0 dimensions /10</v>
      </c>
      <c r="I12" s="237">
        <f ca="1">Feuil_M!G88/Feuil_M!$C88</f>
        <v>0</v>
      </c>
    </row>
    <row r="13" spans="2:10" ht="19.95" customHeight="1" x14ac:dyDescent="0.25">
      <c r="B13" s="307" t="s">
        <v>33</v>
      </c>
      <c r="C13" s="308"/>
      <c r="D13" s="262">
        <f>IF(SUBTOTAL(102,Tableau4[Résultats Som1])=0,0,SUBTOTAL(101,Tableau4[Résultats Som1]))</f>
        <v>0</v>
      </c>
      <c r="E13" s="247" t="str">
        <f ca="1">TEXT(Feuil_M!F89,"0") &amp; " dimensions /" &amp; TEXT(Feuil_M!$C89,"0")</f>
        <v>0 dimensions /6</v>
      </c>
      <c r="F13" s="257">
        <f ca="1">Feuil_M!F89/Feuil_M!$C89</f>
        <v>0</v>
      </c>
      <c r="G13" s="264">
        <f>IF(SUBTOTAL(102,Tableau4[Résultats Som2])=0,0,SUBTOTAL(101,Tableau4[Résultats Som2]))</f>
        <v>0</v>
      </c>
      <c r="H13" s="254" t="str">
        <f ca="1">TEXT(Feuil_M!G89,"0") &amp; " dimensions /" &amp; TEXT(Feuil_M!$C89,"0")</f>
        <v>0 dimensions /6</v>
      </c>
      <c r="I13" s="237">
        <f ca="1">Feuil_M!G89/Feuil_M!$C89</f>
        <v>0</v>
      </c>
    </row>
    <row r="14" spans="2:10" ht="19.95" customHeight="1" x14ac:dyDescent="0.25">
      <c r="B14" s="307" t="s">
        <v>34</v>
      </c>
      <c r="C14" s="308"/>
      <c r="D14" s="262">
        <f>IF(SUBTOTAL(102,Tableau5[Résultats Som1])=0,0,SUBTOTAL(101,Tableau5[Résultats Som1]))</f>
        <v>0</v>
      </c>
      <c r="E14" s="247" t="str">
        <f ca="1">TEXT(Feuil_M!F90,"0") &amp; " dimensions /" &amp; TEXT(Feuil_M!$C90,"0")</f>
        <v>0 dimensions /9</v>
      </c>
      <c r="F14" s="257">
        <f ca="1">Feuil_M!F90/Feuil_M!$C90</f>
        <v>0</v>
      </c>
      <c r="G14" s="264">
        <f>IF(SUBTOTAL(102,Tableau5[Résultats Som2])=0,0,SUBTOTAL(101,Tableau5[Résultats Som2]))</f>
        <v>0</v>
      </c>
      <c r="H14" s="254" t="str">
        <f ca="1">TEXT(Feuil_M!G90,"0") &amp; " dimensions /" &amp; TEXT(Feuil_M!$C90,"0")</f>
        <v>0 dimensions /9</v>
      </c>
      <c r="I14" s="237">
        <f ca="1">Feuil_M!G90/Feuil_M!$C90</f>
        <v>0</v>
      </c>
    </row>
    <row r="15" spans="2:10" ht="19.95" customHeight="1" x14ac:dyDescent="0.25">
      <c r="B15" s="307" t="s">
        <v>35</v>
      </c>
      <c r="C15" s="308"/>
      <c r="D15" s="262">
        <f>IF(SUBTOTAL(102,Tableau6[Résultats Som1])=0,0,SUBTOTAL(101,Tableau6[Résultats Som1]))</f>
        <v>0</v>
      </c>
      <c r="E15" s="247" t="str">
        <f ca="1">TEXT(Feuil_M!F91,"0") &amp; " dimensions /" &amp; TEXT(Feuil_M!$C91,"0")</f>
        <v>0 dimensions /9</v>
      </c>
      <c r="F15" s="257">
        <f ca="1">Feuil_M!F91/Feuil_M!$C91</f>
        <v>0</v>
      </c>
      <c r="G15" s="264">
        <f>IF(SUBTOTAL(102,Tableau6[Résultats Som2])=0,0,SUBTOTAL(101,Tableau6[Résultats Som2]))</f>
        <v>0</v>
      </c>
      <c r="H15" s="254" t="str">
        <f ca="1">TEXT(Feuil_M!G91,"0") &amp; " dimensions /" &amp; TEXT(Feuil_M!$C91,"0")</f>
        <v>0 dimensions /9</v>
      </c>
      <c r="I15" s="237">
        <f ca="1">Feuil_M!G91/Feuil_M!$C91</f>
        <v>0</v>
      </c>
    </row>
    <row r="16" spans="2:10" ht="19.95" customHeight="1" x14ac:dyDescent="0.25">
      <c r="B16" s="307" t="s">
        <v>36</v>
      </c>
      <c r="C16" s="308"/>
      <c r="D16" s="262">
        <f>IF(SUBTOTAL(102,Tableau7[Résultats Som1])=0,0,SUBTOTAL(101,Tableau7[Résultats Som1]))</f>
        <v>0</v>
      </c>
      <c r="E16" s="247" t="str">
        <f ca="1">TEXT(Feuil_M!F92,"0") &amp; " dimensions /" &amp; TEXT(Feuil_M!$C92,"0")</f>
        <v>0 dimensions /8</v>
      </c>
      <c r="F16" s="257">
        <f ca="1">Feuil_M!F92/Feuil_M!$C92</f>
        <v>0</v>
      </c>
      <c r="G16" s="264">
        <f>IF(SUBTOTAL(102,Tableau7[Résultats Som2])=0,0,SUBTOTAL(101,Tableau7[Résultats Som2]))</f>
        <v>0</v>
      </c>
      <c r="H16" s="254" t="str">
        <f ca="1">TEXT(Feuil_M!G92,"0") &amp; " dimensions /" &amp; TEXT(Feuil_M!$C92,"0")</f>
        <v>0 dimensions /8</v>
      </c>
      <c r="I16" s="237">
        <f ca="1">Feuil_M!G92/Feuil_M!$C92</f>
        <v>0</v>
      </c>
    </row>
    <row r="17" spans="2:9" ht="19.95" customHeight="1" thickBot="1" x14ac:dyDescent="0.3">
      <c r="B17" s="307" t="s">
        <v>37</v>
      </c>
      <c r="C17" s="308"/>
      <c r="D17" s="262">
        <f>IF(SUBTOTAL(102,Tableau8[Résultats Som1])=0,0,SUBTOTAL(101,Tableau8[Résultats Som1]))</f>
        <v>0</v>
      </c>
      <c r="E17" s="247" t="str">
        <f ca="1">TEXT(Feuil_M!F93,"0") &amp; " dimensions /" &amp; TEXT(Feuil_M!$C93,"0")</f>
        <v>0 dimensions /9</v>
      </c>
      <c r="F17" s="257">
        <f ca="1">Feuil_M!F93/Feuil_M!$C93</f>
        <v>0</v>
      </c>
      <c r="G17" s="264">
        <f>IF(SUBTOTAL(102,Tableau8[Résultats Som2])=0,0,SUBTOTAL(101,Tableau8[Résultats Som2]))</f>
        <v>0</v>
      </c>
      <c r="H17" s="254" t="str">
        <f ca="1">TEXT(Feuil_M!G93,"0") &amp; " dimensions /" &amp; TEXT(Feuil_M!$C93,"0")</f>
        <v>0 dimensions /9</v>
      </c>
      <c r="I17" s="237">
        <f ca="1">Feuil_M!G93/Feuil_M!$C93</f>
        <v>0</v>
      </c>
    </row>
    <row r="18" spans="2:9" ht="19.95" customHeight="1" thickBot="1" x14ac:dyDescent="0.3">
      <c r="B18" s="417" t="s">
        <v>221</v>
      </c>
      <c r="C18" s="418"/>
      <c r="D18" s="240">
        <f>SUM(D12:D17)</f>
        <v>0</v>
      </c>
      <c r="E18" s="261" t="str">
        <f ca="1">TEXT(SUM(Feuil_M!F88:'Feuil_M'!F93),"0") &amp; " dimensions /" &amp; TEXT(SUM(Feuil_M!$C88:'Feuil_M'!$C93),"0")</f>
        <v>0 dimensions /51</v>
      </c>
      <c r="F18" s="240">
        <f ca="1">SUM(Feuil_M!F88:'Feuil_M'!F93)/SUM(Feuil_M!$C88:'Feuil_M'!$C93)</f>
        <v>0</v>
      </c>
      <c r="G18" s="285">
        <f>SUM(G12:G17)</f>
        <v>0</v>
      </c>
      <c r="H18" s="261" t="str">
        <f ca="1">TEXT(SUM(Feuil_M!G88:'Feuil_M'!G93),"0") &amp; " dimensions /" &amp; TEXT(SUM(Feuil_M!$C88:'Feuil_M'!$C93),"0")</f>
        <v>0 dimensions /51</v>
      </c>
      <c r="I18" s="240">
        <f ca="1">SUM(Feuil_M!G88:'Feuil_M'!G93)/SUM(Feuil_M!$C88:'Feuil_M'!$C93)</f>
        <v>0</v>
      </c>
    </row>
    <row r="19" spans="2:9" ht="19.95" customHeight="1" x14ac:dyDescent="0.25">
      <c r="B19" s="343" t="s">
        <v>197</v>
      </c>
      <c r="C19" s="344"/>
      <c r="D19" s="231"/>
      <c r="E19" s="241"/>
      <c r="F19" s="241"/>
      <c r="G19" s="241"/>
      <c r="H19" s="267"/>
      <c r="I19" s="232"/>
    </row>
    <row r="20" spans="2:9" ht="19.95" customHeight="1" x14ac:dyDescent="0.25">
      <c r="B20" s="307" t="s">
        <v>38</v>
      </c>
      <c r="C20" s="308"/>
      <c r="D20" s="262">
        <f>IF(SUBTOTAL(102,Tableau9[Résultats Som1])=0,0,SUBTOTAL(101,Tableau9[Résultats Som1]))</f>
        <v>0</v>
      </c>
      <c r="E20" s="247" t="str">
        <f ca="1">TEXT(Feuil_M!F94,"0") &amp; " dimensions /" &amp; TEXT(Feuil_M!$C94,"0")</f>
        <v>0 dimensions /8</v>
      </c>
      <c r="F20" s="260">
        <f ca="1">Feuil_M!F94/Feuil_M!$C94</f>
        <v>0</v>
      </c>
      <c r="G20" s="264">
        <f>IF(SUBTOTAL(102,Tableau9[Résultats Som2])=0,0,SUBTOTAL(101,Tableau9[Résultats Som2]))</f>
        <v>0</v>
      </c>
      <c r="H20" s="270" t="str">
        <f ca="1">TEXT(Feuil_M!G94,"0") &amp; " dimensions /" &amp; TEXT(Feuil_M!$C94,"0")</f>
        <v>0 dimensions /8</v>
      </c>
      <c r="I20" s="269">
        <f ca="1">Feuil_M!G94/Feuil_M!$C94</f>
        <v>0</v>
      </c>
    </row>
    <row r="21" spans="2:9" ht="19.95" customHeight="1" thickBot="1" x14ac:dyDescent="0.3">
      <c r="B21" s="307" t="s">
        <v>39</v>
      </c>
      <c r="C21" s="308"/>
      <c r="D21" s="262">
        <f>IF(SUBTOTAL(102,Tableau10[Résultats Som1])=0,0,SUBTOTAL(101,Tableau10[Résultats Som1]))</f>
        <v>0</v>
      </c>
      <c r="E21" s="247" t="str">
        <f ca="1">TEXT(Feuil_M!F95,"0") &amp; " dimensions /" &amp; TEXT(Feuil_M!$C95,"0")</f>
        <v>0 dimensions /7</v>
      </c>
      <c r="F21" s="260">
        <f ca="1">Feuil_M!F95/Feuil_M!$C95</f>
        <v>0</v>
      </c>
      <c r="G21" s="264">
        <f>IF(SUBTOTAL(102,Tableau10[Résultats Som2])=0,0,SUBTOTAL(101,Tableau10[Résultats Som2]))</f>
        <v>0</v>
      </c>
      <c r="H21" s="271" t="str">
        <f ca="1">TEXT(Feuil_M!G95,"0") &amp; " dimensions /" &amp; TEXT(Feuil_M!$C95,"0")</f>
        <v>0 dimensions /7</v>
      </c>
      <c r="I21" s="269">
        <f ca="1">Feuil_M!G95/Feuil_M!$C95</f>
        <v>0</v>
      </c>
    </row>
    <row r="22" spans="2:9" ht="19.95" customHeight="1" thickBot="1" x14ac:dyDescent="0.3">
      <c r="B22" s="417" t="s">
        <v>221</v>
      </c>
      <c r="C22" s="418"/>
      <c r="D22" s="238">
        <f>SUM(D20:D21)</f>
        <v>0</v>
      </c>
      <c r="E22" s="261" t="str">
        <f ca="1">TEXT(SUM(Feuil_M!F94:'Feuil_M'!F95),"0") &amp; " dimensions /" &amp; TEXT(SUM(Feuil_M!$C94:'Feuil_M'!$C95),"0")</f>
        <v>0 dimensions /15</v>
      </c>
      <c r="F22" s="238">
        <f ca="1">SUM(Feuil_M!F94:'Feuil_M'!F95)/SUM(Feuil_M!$C94:'Feuil_M'!$C95)</f>
        <v>0</v>
      </c>
      <c r="G22" s="256">
        <f>SUM(G20:G21)</f>
        <v>0</v>
      </c>
      <c r="H22" s="261" t="str">
        <f ca="1">TEXT(SUM(Feuil_M!G94:'Feuil_M'!G95),"0") &amp; " dimensions /" &amp; TEXT(SUM(Feuil_M!$C94:'Feuil_M'!$C95),"0")</f>
        <v>0 dimensions /15</v>
      </c>
      <c r="I22" s="238">
        <f ca="1">SUM(Feuil_M!G94:'Feuil_M'!G95)/SUM(Feuil_M!$C94:'Feuil_M'!$C95)</f>
        <v>0</v>
      </c>
    </row>
    <row r="23" spans="2:9" ht="19.95" customHeight="1" x14ac:dyDescent="0.25">
      <c r="B23" s="345" t="s">
        <v>198</v>
      </c>
      <c r="C23" s="346"/>
      <c r="D23" s="266"/>
      <c r="E23" s="242"/>
      <c r="F23" s="242"/>
      <c r="G23" s="242"/>
      <c r="H23" s="266"/>
      <c r="I23" s="233"/>
    </row>
    <row r="24" spans="2:9" ht="19.95" customHeight="1" x14ac:dyDescent="0.25">
      <c r="B24" s="307" t="s">
        <v>40</v>
      </c>
      <c r="C24" s="308"/>
      <c r="D24" s="286">
        <f>IF(SUBTOTAL(102,Tableau11[Résultats Som1])=0,0,SUBTOTAL(101,Tableau11[Résultats Som1]))</f>
        <v>0</v>
      </c>
      <c r="E24" s="287" t="str">
        <f ca="1">TEXT(Feuil_M!F96,"0") &amp; " dimensions /" &amp; TEXT(Feuil_M!$C96,"0")</f>
        <v>0 dimensions /9</v>
      </c>
      <c r="F24" s="288">
        <f ca="1">Feuil_M!F96/Feuil_M!$C96</f>
        <v>0</v>
      </c>
      <c r="G24" s="289">
        <f>IF(SUBTOTAL(102,Tableau11[Résultats Som2])=0,0,SUBTOTAL(101,Tableau11[Résultats Som2]))</f>
        <v>0</v>
      </c>
      <c r="H24" s="290" t="str">
        <f ca="1">TEXT(Feuil_M!G96,"0") &amp; " dimensions /" &amp; TEXT(Feuil_M!$C96,"0")</f>
        <v>0 dimensions /9</v>
      </c>
      <c r="I24" s="269">
        <f ca="1">Feuil_M!G96/Feuil_M!$C96</f>
        <v>0</v>
      </c>
    </row>
    <row r="25" spans="2:9" ht="19.95" customHeight="1" x14ac:dyDescent="0.25">
      <c r="B25" s="348" t="s">
        <v>41</v>
      </c>
      <c r="C25" s="349"/>
      <c r="D25" s="234"/>
      <c r="E25" s="243"/>
      <c r="F25" s="243"/>
      <c r="G25" s="243"/>
      <c r="H25" s="272"/>
      <c r="I25" s="235"/>
    </row>
    <row r="26" spans="2:9" ht="19.95" customHeight="1" x14ac:dyDescent="0.25">
      <c r="B26" s="307" t="s">
        <v>42</v>
      </c>
      <c r="C26" s="308"/>
      <c r="D26" s="262">
        <f>IF(SUBTOTAL(102,Tableau12[Résultats Som1])=0,0,SUBTOTAL(101,Tableau12[Résultats Som1]))</f>
        <v>0</v>
      </c>
      <c r="E26" s="247" t="str">
        <f ca="1">TEXT(Feuil_M!F97,"0") &amp; " dimensions /" &amp; TEXT(Feuil_M!$C97,"0")</f>
        <v>0 dimensions /12</v>
      </c>
      <c r="F26" s="260">
        <f ca="1">Feuil_M!F97/Feuil_M!$C97</f>
        <v>0</v>
      </c>
      <c r="G26" s="264">
        <f>IF(SUBTOTAL(102,Tableau12[Résultats Som2])=0,0,SUBTOTAL(101,Tableau12[Résultats Som2]))</f>
        <v>0</v>
      </c>
      <c r="H26" s="270" t="str">
        <f ca="1">TEXT(Feuil_M!G97,"0") &amp; " dimensions /" &amp; TEXT(Feuil_M!$C97,"0")</f>
        <v>0 dimensions /12</v>
      </c>
      <c r="I26" s="269">
        <f ca="1">Feuil_M!G97/Feuil_M!$C97</f>
        <v>0</v>
      </c>
    </row>
    <row r="27" spans="2:9" ht="19.95" customHeight="1" thickBot="1" x14ac:dyDescent="0.3">
      <c r="B27" s="307" t="s">
        <v>43</v>
      </c>
      <c r="C27" s="308"/>
      <c r="D27" s="262">
        <f>IF(SUBTOTAL(102,Tableau13[Résultats Som1])=0,0,SUBTOTAL(101,Tableau13[Résultats Som1]))</f>
        <v>0</v>
      </c>
      <c r="E27" s="247" t="str">
        <f ca="1">TEXT(Feuil_M!F98,"0") &amp; " dimensions /" &amp; TEXT(Feuil_M!$C98,"0")</f>
        <v>0 dimensions /8</v>
      </c>
      <c r="F27" s="260">
        <f ca="1">Feuil_M!F98/Feuil_M!$C98</f>
        <v>0</v>
      </c>
      <c r="G27" s="264">
        <f>IF(SUBTOTAL(102,Tableau13[Résultats Som2])=0,0,SUBTOTAL(101,Tableau13[Résultats Som2]))</f>
        <v>0</v>
      </c>
      <c r="H27" s="270" t="str">
        <f ca="1">TEXT(Feuil_M!G98,"0") &amp; " dimensions /" &amp; TEXT(Feuil_M!$C98,"0")</f>
        <v>0 dimensions /8</v>
      </c>
      <c r="I27" s="269">
        <f ca="1">Feuil_M!G98/Feuil_M!$C98</f>
        <v>0</v>
      </c>
    </row>
    <row r="28" spans="2:9" ht="19.95" customHeight="1" thickBot="1" x14ac:dyDescent="0.3">
      <c r="B28" s="411" t="s">
        <v>221</v>
      </c>
      <c r="C28" s="412"/>
      <c r="D28" s="239">
        <f>SUM(D26:D27)</f>
        <v>0</v>
      </c>
      <c r="E28" s="261" t="str">
        <f ca="1">TEXT(SUM(Feuil_M!F97:'Feuil_M'!F98),"0") &amp; " dimensions /" &amp; TEXT(SUM(Feuil_M!$C97:'Feuil_M'!$C98),"0")</f>
        <v>0 dimensions /20</v>
      </c>
      <c r="F28" s="244">
        <f ca="1">SUM(Feuil_M!F97:'Feuil_M'!F98)/SUM(Feuil_M!$C97:'Feuil_M'!$C98)</f>
        <v>0</v>
      </c>
      <c r="G28" s="244">
        <f>SUM(G26:G27)</f>
        <v>0</v>
      </c>
      <c r="H28" s="261" t="str">
        <f ca="1">TEXT(SUM(Feuil_M!G97:'Feuil_M'!G98),"0") &amp; " dimensions /" &amp; TEXT(SUM(Feuil_M!$C97:'Feuil_M'!$C98),"0")</f>
        <v>0 dimensions /20</v>
      </c>
      <c r="I28" s="239">
        <f ca="1">SUM(Feuil_M!G97:'Feuil_M'!G98)/SUM(Feuil_M!$C97:'Feuil_M'!$C98)</f>
        <v>0</v>
      </c>
    </row>
    <row r="29" spans="2:9" ht="19.95" customHeight="1" thickBot="1" x14ac:dyDescent="0.3">
      <c r="B29" s="413" t="s">
        <v>222</v>
      </c>
      <c r="C29" s="414"/>
      <c r="D29" s="291">
        <f>SUM(D10,D18,D22,D24,D28)/65</f>
        <v>0</v>
      </c>
      <c r="E29" s="273" t="str">
        <f ca="1">TEXT(SUM(Feuil_M!F86:'Feuil_M'!F98),"0") &amp; " dimensions /" &amp; TEXT(SUM(Feuil_M!$C86:'Feuil_M'!$C98),"0")</f>
        <v>0 dimensions /111</v>
      </c>
      <c r="F29" s="245">
        <f ca="1">SUM(Feuil_M!F86:'Feuil_M'!F98)/SUM(Feuil_M!$C86:'Feuil_M'!$C98)</f>
        <v>0</v>
      </c>
      <c r="G29" s="291">
        <f>SUM(G10,G18,G22,G24,G28)/65</f>
        <v>0</v>
      </c>
      <c r="H29" s="273" t="str">
        <f ca="1">TEXT(SUM(Feuil_M!G86:'Feuil_M'!G98),"0") &amp; " dimensions /" &amp; TEXT(SUM(Feuil_M!$C86:'Feuil_M'!$C98),"0")</f>
        <v>0 dimensions /111</v>
      </c>
      <c r="I29" s="236">
        <f ca="1">SUM(Feuil_M!G86:'Feuil_M'!G98)/SUM(Feuil_M!$C86:'Feuil_M'!$C98)</f>
        <v>0</v>
      </c>
    </row>
    <row r="30" spans="2:9" ht="19.95" customHeight="1" x14ac:dyDescent="0.25"/>
    <row r="31" spans="2:9" ht="19.95" customHeight="1" x14ac:dyDescent="0.25"/>
    <row r="32" spans="2:9" ht="19.95" customHeight="1" x14ac:dyDescent="0.25"/>
    <row r="33" ht="19.95" customHeight="1" x14ac:dyDescent="0.25"/>
  </sheetData>
  <sheetProtection algorithmName="SHA-512" hashValue="NnjIvixJ0zRHdqbQjqb1D/t+79WIIf0idzZbXLmvfpfh5ncWeZy9D95+T0sPVW3BT/U1lZGBejqNQguzk4pC4A==" saltValue="XZZZ/SxlKxth3wEM2DjwYw==" spinCount="100000" sheet="1" objects="1" scenarios="1" selectLockedCells="1"/>
  <dataConsolidate/>
  <mergeCells count="26">
    <mergeCell ref="B28:C28"/>
    <mergeCell ref="B29:C29"/>
    <mergeCell ref="B22:C22"/>
    <mergeCell ref="B23:C23"/>
    <mergeCell ref="B24:C24"/>
    <mergeCell ref="B25:C25"/>
    <mergeCell ref="B26:C26"/>
    <mergeCell ref="B27:C27"/>
    <mergeCell ref="B21:C21"/>
    <mergeCell ref="B10:C10"/>
    <mergeCell ref="B11:C11"/>
    <mergeCell ref="B12:C12"/>
    <mergeCell ref="B13:C13"/>
    <mergeCell ref="B14:C14"/>
    <mergeCell ref="B15:C15"/>
    <mergeCell ref="B16:C16"/>
    <mergeCell ref="B17:C17"/>
    <mergeCell ref="B18:C18"/>
    <mergeCell ref="B19:C19"/>
    <mergeCell ref="B20:C20"/>
    <mergeCell ref="B9:C9"/>
    <mergeCell ref="D4:I4"/>
    <mergeCell ref="D5:F5"/>
    <mergeCell ref="G5:I5"/>
    <mergeCell ref="B7:C7"/>
    <mergeCell ref="B8:C8"/>
  </mergeCells>
  <conditionalFormatting sqref="F8:F10 I8:I10 F24 I24 F12:F18 I12:I18 F20:F22 I20:I22 F26:F29 I26:I29">
    <cfRule type="iconSet" priority="1">
      <iconSet iconSet="3Symbols2" showValue="0">
        <cfvo type="percent" val="0"/>
        <cfvo type="num" val="0"/>
        <cfvo type="num" val="1"/>
      </iconSet>
    </cfRule>
  </conditionalFormatting>
  <printOptions horizontalCentered="1"/>
  <pageMargins left="0.23622047244094491" right="0.23622047244094491" top="0.74803149606299213" bottom="0.74803149606299213" header="0.31496062992125984" footer="0.31496062992125984"/>
  <pageSetup scale="82" fitToHeight="0" orientation="landscape" r:id="rId1"/>
  <headerFooter differentFirst="1">
    <oddFooter>Page &amp;P of &amp;N</oddFooter>
  </headerFooter>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F7FF9-0D41-44C7-966C-57502A757A61}">
  <sheetPr codeName="Feuil17"/>
  <dimension ref="A5:N53"/>
  <sheetViews>
    <sheetView showGridLines="0" showRowColHeaders="0" zoomScaleNormal="100" workbookViewId="0">
      <selection activeCell="B21" sqref="B21"/>
    </sheetView>
  </sheetViews>
  <sheetFormatPr baseColWidth="10" defaultColWidth="11" defaultRowHeight="13.8" x14ac:dyDescent="0.25"/>
  <cols>
    <col min="1" max="1" width="3" customWidth="1"/>
    <col min="2" max="2" width="14.69921875" customWidth="1"/>
    <col min="4" max="4" width="5.19921875" customWidth="1"/>
    <col min="5" max="5" width="8.8984375" customWidth="1"/>
    <col min="6" max="6" width="3.19921875" customWidth="1"/>
  </cols>
  <sheetData>
    <row r="5" spans="1:8" x14ac:dyDescent="0.25">
      <c r="A5" s="170"/>
      <c r="B5" s="170"/>
      <c r="C5" s="170"/>
    </row>
    <row r="6" spans="1:8" ht="13.95" customHeight="1" x14ac:dyDescent="0.25">
      <c r="B6" s="424" t="s">
        <v>247</v>
      </c>
      <c r="C6" s="424"/>
      <c r="D6" s="188"/>
      <c r="E6" s="188"/>
      <c r="F6" s="188"/>
      <c r="G6" s="188"/>
      <c r="H6" s="188"/>
    </row>
    <row r="7" spans="1:8" ht="13.95" customHeight="1" x14ac:dyDescent="0.25">
      <c r="B7" s="424"/>
      <c r="C7" s="424"/>
      <c r="D7" s="188"/>
      <c r="E7" s="188"/>
      <c r="F7" s="188"/>
      <c r="G7" s="188"/>
      <c r="H7" s="188"/>
    </row>
    <row r="8" spans="1:8" x14ac:dyDescent="0.25">
      <c r="B8" s="170"/>
      <c r="C8" s="170"/>
      <c r="D8" s="170"/>
    </row>
    <row r="34" spans="1:14" ht="14.4" x14ac:dyDescent="0.25">
      <c r="E34" s="426" t="s">
        <v>248</v>
      </c>
      <c r="F34" s="426"/>
      <c r="G34" s="426"/>
      <c r="H34" s="426"/>
      <c r="I34" s="426"/>
      <c r="J34" s="426"/>
      <c r="K34" s="426"/>
      <c r="L34" s="426"/>
      <c r="M34" s="426"/>
    </row>
    <row r="39" spans="1:14" x14ac:dyDescent="0.25">
      <c r="E39" s="427" t="s">
        <v>249</v>
      </c>
      <c r="F39" s="428"/>
      <c r="G39" s="180"/>
    </row>
    <row r="40" spans="1:14" ht="16.95" customHeight="1" x14ac:dyDescent="0.25">
      <c r="A40" s="173"/>
      <c r="F40" s="182"/>
      <c r="G40" s="425" t="s">
        <v>89</v>
      </c>
      <c r="H40" s="425"/>
      <c r="I40" s="425"/>
      <c r="J40" s="425"/>
      <c r="K40" s="425"/>
      <c r="L40" s="425"/>
      <c r="M40" s="425"/>
      <c r="N40" s="170"/>
    </row>
    <row r="41" spans="1:14" ht="4.95" customHeight="1" x14ac:dyDescent="0.25">
      <c r="A41" s="173"/>
      <c r="G41" s="179"/>
      <c r="H41" s="179"/>
      <c r="I41" s="179"/>
      <c r="J41" s="179"/>
      <c r="K41" s="179"/>
      <c r="L41" s="179"/>
      <c r="M41" s="179"/>
      <c r="N41" s="170"/>
    </row>
    <row r="42" spans="1:14" ht="16.95" customHeight="1" x14ac:dyDescent="0.25">
      <c r="F42" s="183"/>
      <c r="G42" s="425" t="s">
        <v>250</v>
      </c>
      <c r="H42" s="425"/>
      <c r="I42" s="425"/>
      <c r="J42" s="425"/>
      <c r="K42" s="425"/>
      <c r="L42" s="425"/>
      <c r="M42" s="425"/>
      <c r="N42" s="170"/>
    </row>
    <row r="43" spans="1:14" ht="4.95" customHeight="1" x14ac:dyDescent="0.25">
      <c r="G43" s="179"/>
      <c r="H43" s="179"/>
      <c r="I43" s="179"/>
      <c r="J43" s="179"/>
      <c r="K43" s="179"/>
      <c r="L43" s="179"/>
      <c r="M43" s="179"/>
      <c r="N43" s="170"/>
    </row>
    <row r="44" spans="1:14" ht="16.95" customHeight="1" x14ac:dyDescent="0.25">
      <c r="A44" s="174"/>
      <c r="F44" s="184"/>
      <c r="G44" s="425" t="s">
        <v>251</v>
      </c>
      <c r="H44" s="425"/>
      <c r="I44" s="425"/>
      <c r="J44" s="425"/>
      <c r="K44" s="425"/>
      <c r="L44" s="425"/>
      <c r="M44" s="425"/>
      <c r="N44" s="170"/>
    </row>
    <row r="45" spans="1:14" ht="4.95" customHeight="1" x14ac:dyDescent="0.25">
      <c r="A45" s="174"/>
      <c r="G45" s="179"/>
      <c r="H45" s="179"/>
      <c r="I45" s="179"/>
      <c r="J45" s="179"/>
      <c r="K45" s="179"/>
      <c r="L45" s="179"/>
      <c r="M45" s="179"/>
      <c r="N45" s="170"/>
    </row>
    <row r="46" spans="1:14" ht="16.95" customHeight="1" x14ac:dyDescent="0.25">
      <c r="A46" s="178"/>
      <c r="B46" s="275"/>
      <c r="F46" s="185"/>
      <c r="G46" s="425" t="s">
        <v>252</v>
      </c>
      <c r="H46" s="425"/>
      <c r="I46" s="425"/>
      <c r="J46" s="425"/>
      <c r="K46" s="425"/>
      <c r="L46" s="425"/>
      <c r="M46" s="425"/>
      <c r="N46" s="170"/>
    </row>
    <row r="47" spans="1:14" ht="4.95" customHeight="1" x14ac:dyDescent="0.25">
      <c r="A47" s="178"/>
      <c r="B47" s="177"/>
      <c r="G47" s="179"/>
      <c r="H47" s="179"/>
      <c r="I47" s="179"/>
      <c r="J47" s="179"/>
      <c r="K47" s="179"/>
      <c r="L47" s="179"/>
      <c r="M47" s="179"/>
      <c r="N47" s="170"/>
    </row>
    <row r="48" spans="1:14" ht="16.95" customHeight="1" x14ac:dyDescent="0.25">
      <c r="F48" s="186"/>
      <c r="G48" s="425" t="s">
        <v>90</v>
      </c>
      <c r="H48" s="425"/>
      <c r="I48" s="425"/>
      <c r="J48" s="425"/>
      <c r="K48" s="425"/>
      <c r="L48" s="425"/>
      <c r="M48" s="425"/>
    </row>
    <row r="49" spans="6:13" ht="4.95" customHeight="1" x14ac:dyDescent="0.25">
      <c r="G49" s="179"/>
      <c r="H49" s="179"/>
      <c r="I49" s="179"/>
      <c r="J49" s="179"/>
      <c r="K49" s="179"/>
      <c r="L49" s="179"/>
      <c r="M49" s="179"/>
    </row>
    <row r="50" spans="6:13" ht="16.95" customHeight="1" x14ac:dyDescent="0.25">
      <c r="F50" s="187"/>
      <c r="G50" s="425" t="s">
        <v>220</v>
      </c>
      <c r="H50" s="425"/>
      <c r="I50" s="425"/>
      <c r="J50" s="425"/>
      <c r="K50" s="425"/>
      <c r="L50" s="425"/>
      <c r="M50" s="425"/>
    </row>
    <row r="51" spans="6:13" ht="4.95" customHeight="1" thickBot="1" x14ac:dyDescent="0.3">
      <c r="G51" s="179"/>
      <c r="H51" s="179"/>
      <c r="I51" s="179"/>
      <c r="J51" s="179"/>
      <c r="K51" s="179"/>
      <c r="L51" s="179"/>
      <c r="M51" s="179"/>
    </row>
    <row r="52" spans="6:13" ht="16.95" customHeight="1" thickBot="1" x14ac:dyDescent="0.3">
      <c r="F52" s="189"/>
      <c r="G52" s="425" t="s">
        <v>186</v>
      </c>
      <c r="H52" s="425"/>
      <c r="I52" s="425"/>
      <c r="J52" s="425"/>
      <c r="K52" s="425"/>
      <c r="L52" s="425"/>
      <c r="M52" s="425"/>
    </row>
    <row r="53" spans="6:13" ht="16.2" customHeight="1" x14ac:dyDescent="0.25"/>
  </sheetData>
  <sheetProtection algorithmName="SHA-512" hashValue="4kPGvBSB0rURp5HF46EGPlP6Mq9UAZbXUl9QN/T5jyHPBvMNBpkTEbGbaIPjqssJp+sBav2YEW+ls23zow95hQ==" saltValue="Zhc3hyAOYkB/a60fmhtK7w==" spinCount="100000" sheet="1" objects="1" scenarios="1" selectLockedCells="1"/>
  <mergeCells count="10">
    <mergeCell ref="G46:M46"/>
    <mergeCell ref="G48:M48"/>
    <mergeCell ref="G50:M50"/>
    <mergeCell ref="G52:M52"/>
    <mergeCell ref="E39:F39"/>
    <mergeCell ref="B6:C7"/>
    <mergeCell ref="G40:M40"/>
    <mergeCell ref="G42:M42"/>
    <mergeCell ref="G44:M44"/>
    <mergeCell ref="E34:M34"/>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7" r:id="rId4" name="Check Box 3">
              <controlPr defaultSize="0" autoFill="0" autoLine="0" autoPict="0" altText="Sommatif pers. enseignante">
                <anchor moveWithCells="1">
                  <from>
                    <xdr:col>9</xdr:col>
                    <xdr:colOff>457200</xdr:colOff>
                    <xdr:row>34</xdr:row>
                    <xdr:rowOff>137160</xdr:rowOff>
                  </from>
                  <to>
                    <xdr:col>9</xdr:col>
                    <xdr:colOff>685800</xdr:colOff>
                    <xdr:row>36</xdr:row>
                    <xdr:rowOff>60960</xdr:rowOff>
                  </to>
                </anchor>
              </controlPr>
            </control>
          </mc:Choice>
        </mc:AlternateContent>
        <mc:AlternateContent xmlns:mc="http://schemas.openxmlformats.org/markup-compatibility/2006">
          <mc:Choice Requires="x14">
            <control shapeId="31748" r:id="rId5" name="Check Box 4">
              <controlPr defaultSize="0" autoFill="0" autoLine="0" autoPict="0" altText="Sommatif encadrement">
                <anchor moveWithCells="1">
                  <from>
                    <xdr:col>11</xdr:col>
                    <xdr:colOff>480060</xdr:colOff>
                    <xdr:row>35</xdr:row>
                    <xdr:rowOff>0</xdr:rowOff>
                  </from>
                  <to>
                    <xdr:col>11</xdr:col>
                    <xdr:colOff>685800</xdr:colOff>
                    <xdr:row>36</xdr:row>
                    <xdr:rowOff>22860</xdr:rowOff>
                  </to>
                </anchor>
              </controlPr>
            </control>
          </mc:Choice>
        </mc:AlternateContent>
        <mc:AlternateContent xmlns:mc="http://schemas.openxmlformats.org/markup-compatibility/2006">
          <mc:Choice Requires="x14">
            <control shapeId="31746" r:id="rId6" name="Check Box 2">
              <controlPr defaultSize="0" autoFill="0" autoLine="0" autoPict="0" altText="Formatif encadrement">
                <anchor moveWithCells="1">
                  <from>
                    <xdr:col>7</xdr:col>
                    <xdr:colOff>441960</xdr:colOff>
                    <xdr:row>34</xdr:row>
                    <xdr:rowOff>137160</xdr:rowOff>
                  </from>
                  <to>
                    <xdr:col>7</xdr:col>
                    <xdr:colOff>693420</xdr:colOff>
                    <xdr:row>36</xdr:row>
                    <xdr:rowOff>45720</xdr:rowOff>
                  </to>
                </anchor>
              </controlPr>
            </control>
          </mc:Choice>
        </mc:AlternateContent>
        <mc:AlternateContent xmlns:mc="http://schemas.openxmlformats.org/markup-compatibility/2006">
          <mc:Choice Requires="x14">
            <control shapeId="31745" r:id="rId7" name="Check Box 1">
              <controlPr defaultSize="0" autoFill="0" autoLine="0" autoPict="0" altText="Formatif pers. enseignante">
                <anchor moveWithCells="1">
                  <from>
                    <xdr:col>4</xdr:col>
                    <xdr:colOff>289560</xdr:colOff>
                    <xdr:row>34</xdr:row>
                    <xdr:rowOff>137160</xdr:rowOff>
                  </from>
                  <to>
                    <xdr:col>4</xdr:col>
                    <xdr:colOff>563880</xdr:colOff>
                    <xdr:row>36</xdr:row>
                    <xdr:rowOff>60960</xdr:rowOff>
                  </to>
                </anchor>
              </controlPr>
            </control>
          </mc:Choice>
        </mc:AlternateContent>
      </controls>
    </mc:Choice>
  </mc:AlternateContent>
  <extLst>
    <ext xmlns:x15="http://schemas.microsoft.com/office/spreadsheetml/2010/11/main" uri="{3A4CF648-6AED-40f4-86FF-DC5316D8AED3}">
      <x14:slicerList xmlns:x14="http://schemas.microsoft.com/office/spreadsheetml/2009/9/main">
        <x14:slicer r:id="rId8"/>
      </x14:slicerList>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56C67-8E61-4C83-B0AE-0E328F4B0764}">
  <sheetPr codeName="Feuil16"/>
  <dimension ref="A1:AE98"/>
  <sheetViews>
    <sheetView zoomScale="98" zoomScaleNormal="98" workbookViewId="0"/>
  </sheetViews>
  <sheetFormatPr baseColWidth="10" defaultColWidth="11" defaultRowHeight="13.8" x14ac:dyDescent="0.25"/>
  <cols>
    <col min="1" max="1" width="21" bestFit="1" customWidth="1"/>
    <col min="2" max="2" width="17.69921875" customWidth="1"/>
    <col min="3" max="3" width="22.3984375" customWidth="1"/>
    <col min="4" max="4" width="18.69921875" customWidth="1"/>
    <col min="5" max="5" width="20.3984375" bestFit="1" customWidth="1"/>
    <col min="6" max="7" width="19.8984375" customWidth="1"/>
    <col min="9" max="9" width="18.59765625" customWidth="1"/>
    <col min="10" max="10" width="17" customWidth="1"/>
    <col min="11" max="11" width="17.69921875" customWidth="1"/>
    <col min="12" max="12" width="20.69921875" bestFit="1" customWidth="1"/>
    <col min="13" max="13" width="23.69921875" bestFit="1" customWidth="1"/>
    <col min="14" max="16" width="5.19921875" bestFit="1" customWidth="1"/>
    <col min="17" max="17" width="6.69921875" bestFit="1" customWidth="1"/>
    <col min="18" max="21" width="5.19921875" bestFit="1" customWidth="1"/>
    <col min="22" max="22" width="6.69921875" bestFit="1" customWidth="1"/>
    <col min="23" max="26" width="10" bestFit="1" customWidth="1"/>
    <col min="27" max="27" width="6.69921875" bestFit="1" customWidth="1"/>
    <col min="28" max="31" width="10" bestFit="1" customWidth="1"/>
    <col min="32" max="32" width="6.69921875" bestFit="1" customWidth="1"/>
    <col min="33" max="33" width="7.09765625" bestFit="1" customWidth="1"/>
    <col min="34" max="35" width="5.19921875" bestFit="1" customWidth="1"/>
    <col min="36" max="36" width="6.69921875" bestFit="1" customWidth="1"/>
    <col min="37" max="40" width="5.19921875" bestFit="1" customWidth="1"/>
    <col min="41" max="41" width="6.69921875" bestFit="1" customWidth="1"/>
    <col min="42" max="42" width="5.19921875" bestFit="1" customWidth="1"/>
    <col min="43" max="44" width="10" bestFit="1" customWidth="1"/>
    <col min="45" max="45" width="6.69921875" bestFit="1" customWidth="1"/>
    <col min="46" max="50" width="10" bestFit="1" customWidth="1"/>
    <col min="51" max="51" width="6.69921875" bestFit="1" customWidth="1"/>
    <col min="52" max="52" width="7.09765625" bestFit="1" customWidth="1"/>
    <col min="53" max="53" width="5.19921875" bestFit="1" customWidth="1"/>
    <col min="54" max="54" width="6.69921875" bestFit="1" customWidth="1"/>
    <col min="55" max="58" width="5.19921875" bestFit="1" customWidth="1"/>
    <col min="59" max="59" width="6.69921875" bestFit="1" customWidth="1"/>
    <col min="60" max="61" width="5.19921875" bestFit="1" customWidth="1"/>
    <col min="62" max="64" width="10" bestFit="1" customWidth="1"/>
    <col min="65" max="65" width="6.69921875" bestFit="1" customWidth="1"/>
    <col min="66" max="68" width="10" bestFit="1" customWidth="1"/>
    <col min="69" max="69" width="6.69921875" bestFit="1" customWidth="1"/>
    <col min="70" max="70" width="7.09765625" bestFit="1" customWidth="1"/>
    <col min="71" max="71" width="6.69921875" bestFit="1" customWidth="1"/>
    <col min="72" max="75" width="5.19921875" bestFit="1" customWidth="1"/>
    <col min="76" max="76" width="6.69921875" bestFit="1" customWidth="1"/>
    <col min="77" max="79" width="5.19921875" bestFit="1" customWidth="1"/>
    <col min="80" max="80" width="10" bestFit="1" customWidth="1"/>
    <col min="81" max="81" width="6.69921875" bestFit="1" customWidth="1"/>
    <col min="82" max="85" width="10" bestFit="1" customWidth="1"/>
    <col min="86" max="86" width="6.69921875" bestFit="1" customWidth="1"/>
    <col min="87" max="87" width="7.09765625" bestFit="1" customWidth="1"/>
    <col min="88" max="91" width="5.19921875" bestFit="1" customWidth="1"/>
    <col min="92" max="92" width="6.69921875" bestFit="1" customWidth="1"/>
    <col min="93" max="96" width="5.19921875" bestFit="1" customWidth="1"/>
    <col min="97" max="97" width="6.69921875" bestFit="1" customWidth="1"/>
    <col min="98" max="101" width="10" bestFit="1" customWidth="1"/>
    <col min="102" max="102" width="6.69921875" bestFit="1" customWidth="1"/>
    <col min="103" max="106" width="10" bestFit="1" customWidth="1"/>
    <col min="107" max="107" width="12.19921875" bestFit="1" customWidth="1"/>
  </cols>
  <sheetData>
    <row r="1" spans="1:26" ht="14.4" thickBot="1" x14ac:dyDescent="0.3"/>
    <row r="2" spans="1:26" ht="16.8" thickBot="1" x14ac:dyDescent="0.45">
      <c r="A2" s="202" t="s">
        <v>91</v>
      </c>
      <c r="B2" t="s">
        <v>92</v>
      </c>
    </row>
    <row r="3" spans="1:26" ht="13.95" customHeight="1" thickBot="1" x14ac:dyDescent="0.3">
      <c r="A3" s="203" t="s">
        <v>61</v>
      </c>
      <c r="B3" s="15" t="s">
        <v>93</v>
      </c>
    </row>
    <row r="4" spans="1:26" ht="13.95" customHeight="1" thickBot="1" x14ac:dyDescent="0.3">
      <c r="A4" s="203" t="s">
        <v>66</v>
      </c>
      <c r="B4" s="14">
        <v>5</v>
      </c>
    </row>
    <row r="5" spans="1:26" ht="13.95" customHeight="1" thickBot="1" x14ac:dyDescent="0.3">
      <c r="A5" s="203" t="s">
        <v>63</v>
      </c>
      <c r="B5" s="14">
        <v>4</v>
      </c>
    </row>
    <row r="6" spans="1:26" ht="13.95" customHeight="1" thickBot="1" x14ac:dyDescent="0.3">
      <c r="A6" s="203" t="s">
        <v>59</v>
      </c>
      <c r="B6" s="14">
        <v>3</v>
      </c>
    </row>
    <row r="7" spans="1:26" ht="13.95" customHeight="1" thickBot="1" x14ac:dyDescent="0.3">
      <c r="A7" s="203" t="s">
        <v>68</v>
      </c>
      <c r="B7" s="14">
        <v>2</v>
      </c>
    </row>
    <row r="8" spans="1:26" ht="13.95" customHeight="1" thickBot="1" x14ac:dyDescent="0.3">
      <c r="A8" s="204" t="s">
        <v>60</v>
      </c>
      <c r="B8" s="14">
        <v>1</v>
      </c>
    </row>
    <row r="9" spans="1:26" ht="13.95" customHeight="1" x14ac:dyDescent="0.25"/>
    <row r="10" spans="1:26" ht="13.95" customHeight="1" x14ac:dyDescent="0.25"/>
    <row r="11" spans="1:26" ht="18" customHeight="1" x14ac:dyDescent="0.25">
      <c r="C11" s="434" t="s">
        <v>94</v>
      </c>
      <c r="D11" s="434"/>
      <c r="E11" s="434"/>
      <c r="F11" s="434"/>
      <c r="G11" s="434"/>
    </row>
    <row r="12" spans="1:26" x14ac:dyDescent="0.25">
      <c r="C12" t="s">
        <v>95</v>
      </c>
      <c r="D12" s="435" t="s">
        <v>25</v>
      </c>
      <c r="E12" s="435"/>
      <c r="F12" s="435" t="s">
        <v>26</v>
      </c>
      <c r="G12" s="435"/>
    </row>
    <row r="13" spans="1:26" ht="29.4" customHeight="1" x14ac:dyDescent="0.25">
      <c r="C13" t="s">
        <v>96</v>
      </c>
      <c r="D13" t="s">
        <v>97</v>
      </c>
      <c r="E13" t="s">
        <v>98</v>
      </c>
      <c r="F13" t="s">
        <v>99</v>
      </c>
      <c r="G13" t="s">
        <v>100</v>
      </c>
      <c r="S13" t="s">
        <v>101</v>
      </c>
      <c r="T13" t="s">
        <v>102</v>
      </c>
      <c r="U13" t="s">
        <v>103</v>
      </c>
      <c r="V13" t="s">
        <v>104</v>
      </c>
      <c r="W13" t="s">
        <v>97</v>
      </c>
      <c r="X13" t="s">
        <v>98</v>
      </c>
      <c r="Y13" t="s">
        <v>99</v>
      </c>
      <c r="Z13" t="s">
        <v>100</v>
      </c>
    </row>
    <row r="14" spans="1:26" ht="13.95" customHeight="1" x14ac:dyDescent="0.25">
      <c r="A14" s="24"/>
      <c r="B14" s="24"/>
      <c r="C14" t="s">
        <v>105</v>
      </c>
      <c r="D14" s="169">
        <f>IF(SUBTOTAL(102,Tableau1[Résultats For1])=0,0,SUBTOTAL(101,Tableau1[Résultats For1]))/5*100</f>
        <v>0</v>
      </c>
      <c r="E14" s="169">
        <f>IF(SUBTOTAL(102,Tableau1[Résultats For2])=0,0,SUBTOTAL(101,Tableau1[Résultats For2]))/5*100</f>
        <v>0</v>
      </c>
      <c r="F14" s="169">
        <f>IF(SUBTOTAL(102,Tableau1[Résultats Som1])=0,0,SUBTOTAL(101,Tableau1[Résultats Som1]))/5*100</f>
        <v>0</v>
      </c>
      <c r="G14" s="169">
        <f>IF(SUBTOTAL(102,Tableau1[Résultats Som2])=0,0,SUBTOTAL(101,Tableau1[Résultats Som2]))/5*100</f>
        <v>0</v>
      </c>
    </row>
    <row r="15" spans="1:26" ht="13.95" customHeight="1" x14ac:dyDescent="0.25">
      <c r="C15" t="s">
        <v>106</v>
      </c>
      <c r="D15" s="169">
        <f xml:space="preserve"> IF(SUBTOTAL(102,Tableau2[Résultats For1])=0,0,SUBTOTAL(101,Tableau2[Résultats For1]))/5*100</f>
        <v>0</v>
      </c>
      <c r="E15" s="169">
        <f xml:space="preserve"> IF(SUBTOTAL(102,Tableau2[Résultats For2])=0,0,SUBTOTAL(101,Tableau2[Résultats For2]))/5*100</f>
        <v>0</v>
      </c>
      <c r="F15" s="169">
        <f>IF(SUBTOTAL(102,Tableau2[Résultats Som1])=0,0,SUBTOTAL(101,Tableau2[Résultats Som1]))/5*100</f>
        <v>0</v>
      </c>
      <c r="G15" s="169">
        <f>IF(SUBTOTAL(102,Tableau2[Résultats Som2])=0,0,SUBTOTAL(101,Tableau2[Résultats Som2]))/5*100</f>
        <v>0</v>
      </c>
    </row>
    <row r="16" spans="1:26" ht="13.95" customHeight="1" x14ac:dyDescent="0.25">
      <c r="C16" t="s">
        <v>107</v>
      </c>
      <c r="D16" s="169">
        <f>IF(SUBTOTAL(102,Tableau3[Résultats For1])=0,0,SUBTOTAL(101,Tableau3[Résultats For1]))/5*100</f>
        <v>0</v>
      </c>
      <c r="E16" s="169">
        <f>IF(SUBTOTAL(102,Tableau3[Résultats For2])=0,0,SUBTOTAL(101,Tableau3[Résultats For2]))/5*100</f>
        <v>0</v>
      </c>
      <c r="F16" s="169">
        <f>IF(SUBTOTAL(102,Tableau3[Résultats Som1])=0,0,SUBTOTAL(101,Tableau3[Résultats Som1]))/5*100</f>
        <v>0</v>
      </c>
      <c r="G16" s="169">
        <f>IF(SUBTOTAL(102,Tableau3[Résultats Som2])=0,0,SUBTOTAL(101,Tableau3[Résultats Som2]))/5*100</f>
        <v>0</v>
      </c>
    </row>
    <row r="17" spans="3:7" ht="13.95" customHeight="1" x14ac:dyDescent="0.25">
      <c r="C17" t="s">
        <v>108</v>
      </c>
      <c r="D17" s="169">
        <f>IF(SUBTOTAL(102,Tableau4[Résultats For1])=0,0,SUBTOTAL(101,Tableau4[Résultats For1]))/5*100</f>
        <v>0</v>
      </c>
      <c r="E17" s="169">
        <f>IF(SUBTOTAL(102,Tableau4[Résultats For2])=0,0,SUBTOTAL(101,Tableau4[Résultats For2]))/5*100</f>
        <v>0</v>
      </c>
      <c r="F17" s="169">
        <f>IF(SUBTOTAL(102,Tableau4[Résultats Som1])=0,0,SUBTOTAL(101,Tableau4[Résultats Som1]))/5*100</f>
        <v>0</v>
      </c>
      <c r="G17" s="169">
        <f>IF(SUBTOTAL(102,Tableau4[Résultats Som2])=0,0,SUBTOTAL(101,Tableau4[Résultats Som2]))/5*100</f>
        <v>0</v>
      </c>
    </row>
    <row r="18" spans="3:7" ht="13.95" customHeight="1" x14ac:dyDescent="0.25">
      <c r="C18" t="s">
        <v>109</v>
      </c>
      <c r="D18" s="169">
        <f>IF(SUBTOTAL(102,Tableau5[Résultats For1])=0,0,SUBTOTAL(101,Tableau5[Résultats For1]))/5*100</f>
        <v>0</v>
      </c>
      <c r="E18" s="169">
        <f>IF(SUBTOTAL(102,Tableau5[Résultats For2])=0,0,SUBTOTAL(101,Tableau5[Résultats For2]))/5*100</f>
        <v>0</v>
      </c>
      <c r="F18" s="169">
        <f>IF(SUBTOTAL(102,Tableau5[Résultats Som1])=0,0,SUBTOTAL(101,Tableau5[Résultats Som1]))/5*100</f>
        <v>0</v>
      </c>
      <c r="G18" s="169">
        <f>IF(SUBTOTAL(102,Tableau5[Résultats Som2])=0,0,SUBTOTAL(101,Tableau5[Résultats Som2]))/5*100</f>
        <v>0</v>
      </c>
    </row>
    <row r="19" spans="3:7" ht="13.95" customHeight="1" x14ac:dyDescent="0.25">
      <c r="C19" t="s">
        <v>110</v>
      </c>
      <c r="D19" s="169">
        <f>IF(SUBTOTAL(102,Tableau6[Résultats For1])=0,0,SUBTOTAL(101,Tableau6[Résultats For1]))/5*100</f>
        <v>0</v>
      </c>
      <c r="E19" s="169">
        <f xml:space="preserve"> IF(SUBTOTAL(102,Tableau6[Résultats For2])=0,0,SUBTOTAL(101,Tableau6[Résultats For2]))/5*100</f>
        <v>0</v>
      </c>
      <c r="F19" s="169">
        <f>IF(SUBTOTAL(102,Tableau6[Résultats Som1])=0,0,SUBTOTAL(101,Tableau6[Résultats Som1]))/5*100</f>
        <v>0</v>
      </c>
      <c r="G19" s="169">
        <f>IF(SUBTOTAL(102,Tableau6[Résultats Som2])=0,0,SUBTOTAL(101,Tableau6[Résultats Som2]))/5*100</f>
        <v>0</v>
      </c>
    </row>
    <row r="20" spans="3:7" ht="13.95" customHeight="1" x14ac:dyDescent="0.25">
      <c r="C20" t="s">
        <v>111</v>
      </c>
      <c r="D20" s="169">
        <f>IF(SUBTOTAL(102,Tableau7[Résultats For1])=0,0,SUBTOTAL(101,Tableau7[Résultats For1]))/5*100</f>
        <v>0</v>
      </c>
      <c r="E20" s="169">
        <f>IF(SUBTOTAL(102,Tableau7[Résultats For2])=0,0,SUBTOTAL(101,Tableau7[Résultats For2]))/5*100</f>
        <v>0</v>
      </c>
      <c r="F20" s="169">
        <f>IF(SUBTOTAL(102,Tableau7[Résultats Som1])=0,0,SUBTOTAL(101,Tableau7[Résultats Som1]))/5*100</f>
        <v>0</v>
      </c>
      <c r="G20" s="169">
        <f>IF(SUBTOTAL(102,Tableau7[Résultats Som2])=0,0,SUBTOTAL(101,Tableau7[Résultats Som2]))/5*100</f>
        <v>0</v>
      </c>
    </row>
    <row r="21" spans="3:7" ht="13.95" customHeight="1" x14ac:dyDescent="0.25">
      <c r="C21" t="s">
        <v>112</v>
      </c>
      <c r="D21" s="169">
        <f>IF(SUBTOTAL(102,Tableau8[Résultats For1])=0,0,SUBTOTAL(101,Tableau8[Résultats For1]))/5*100</f>
        <v>0</v>
      </c>
      <c r="E21" s="169">
        <f>IF(SUBTOTAL(102,Tableau8[Résultats For2])=0,0,SUBTOTAL(101,Tableau8[Résultats For2]))/5*100</f>
        <v>0</v>
      </c>
      <c r="F21" s="169">
        <f>IF(SUBTOTAL(102,Tableau8[Résultats Som1])=0,0,SUBTOTAL(101,Tableau8[Résultats Som1]))/5*100</f>
        <v>0</v>
      </c>
      <c r="G21" s="169">
        <f>IF(SUBTOTAL(102,Tableau8[Résultats Som2])=0,0,SUBTOTAL(101,Tableau8[Résultats Som2]))/5*100</f>
        <v>0</v>
      </c>
    </row>
    <row r="22" spans="3:7" ht="13.95" customHeight="1" x14ac:dyDescent="0.25">
      <c r="C22" t="s">
        <v>113</v>
      </c>
      <c r="D22" s="169">
        <f>IF(SUBTOTAL(102,Tableau9[Résultats For1])=0,0,SUBTOTAL(101,Tableau9[Résultats For1]))/5*100</f>
        <v>0</v>
      </c>
      <c r="E22" s="169">
        <f>IF(SUBTOTAL(102,Tableau9[Résultats For2])=0,0,SUBTOTAL(101,Tableau9[Résultats For2]))/5*100</f>
        <v>0</v>
      </c>
      <c r="F22" s="169">
        <f>IF(SUBTOTAL(102,Tableau9[Résultats Som1])=0,0,SUBTOTAL(101,Tableau9[Résultats Som1]))/5*100</f>
        <v>0</v>
      </c>
      <c r="G22" s="169">
        <f>IF(SUBTOTAL(102,Tableau9[Résultats Som2])=0,0,SUBTOTAL(101,Tableau9[Résultats Som2]))/5*100</f>
        <v>0</v>
      </c>
    </row>
    <row r="23" spans="3:7" ht="13.95" customHeight="1" x14ac:dyDescent="0.25">
      <c r="C23" t="s">
        <v>77</v>
      </c>
      <c r="D23" s="169">
        <f>IF(SUBTOTAL(102,Tableau10[Résultats For1])=0,0,SUBTOTAL(101,Tableau10[Résultats For1]))/5*100</f>
        <v>0</v>
      </c>
      <c r="E23" s="169">
        <f>IF(SUBTOTAL(102,Tableau10[Résultats For2])=0,0,SUBTOTAL(101,Tableau10[Résultats For2]))/5*100</f>
        <v>0</v>
      </c>
      <c r="F23" s="169">
        <f>IF(SUBTOTAL(102,Tableau10[Résultats Som1])=0,0,SUBTOTAL(101,Tableau10[Résultats Som1]))/5*100</f>
        <v>0</v>
      </c>
      <c r="G23" s="169">
        <f>IF(SUBTOTAL(102,Tableau10[Résultats Som2])=0,0,SUBTOTAL(101,Tableau10[Résultats Som2]))/5*100</f>
        <v>0</v>
      </c>
    </row>
    <row r="24" spans="3:7" ht="13.95" customHeight="1" x14ac:dyDescent="0.25">
      <c r="C24" t="s">
        <v>78</v>
      </c>
      <c r="D24" s="169">
        <f>IF(SUBTOTAL(102,Tableau11[Résultats For1])=0,0,SUBTOTAL(101,Tableau11[Résultats For1]))/5*100</f>
        <v>0</v>
      </c>
      <c r="E24" s="169">
        <f>IF(SUBTOTAL(102,Tableau11[Résultats For2])=0,0,SUBTOTAL(101,Tableau11[Résultats For2]))/5*100</f>
        <v>0</v>
      </c>
      <c r="F24" s="169">
        <f>IF(SUBTOTAL(102,Tableau11[Résultats Som1])=0,0,SUBTOTAL(101,Tableau11[Résultats Som1]))/5*100</f>
        <v>0</v>
      </c>
      <c r="G24" s="169">
        <f>IF(SUBTOTAL(102,Tableau11[Résultats Som2])=0,0,SUBTOTAL(101,Tableau11[Résultats Som2]))/5*100</f>
        <v>0</v>
      </c>
    </row>
    <row r="25" spans="3:7" ht="13.95" customHeight="1" x14ac:dyDescent="0.25">
      <c r="C25" t="s">
        <v>79</v>
      </c>
      <c r="D25" s="169">
        <f>IF(SUBTOTAL(102,Tableau12[Résultats For1])=0,0,SUBTOTAL(101,Tableau12[Résultats For1]))/5*100</f>
        <v>0</v>
      </c>
      <c r="E25" s="169">
        <f>IF(SUBTOTAL(102,Tableau12[Résultats For2])=0,0,SUBTOTAL(101,Tableau12[Résultats For2]))/5*100</f>
        <v>0</v>
      </c>
      <c r="F25" s="169">
        <f>IF(SUBTOTAL(102,Tableau12[Résultats Som1])=0,0,SUBTOTAL(101,Tableau12[Résultats Som1]))/5*100</f>
        <v>0</v>
      </c>
      <c r="G25" s="169">
        <f>IF(SUBTOTAL(102,Tableau12[Résultats Som2])=0,0,SUBTOTAL(101,Tableau12[Résultats Som2]))/5*100</f>
        <v>0</v>
      </c>
    </row>
    <row r="26" spans="3:7" ht="13.95" customHeight="1" x14ac:dyDescent="0.25">
      <c r="C26" t="s">
        <v>83</v>
      </c>
      <c r="D26" s="169">
        <f>IF(SUBTOTAL(102,Tableau13[Résultats For1])=0,0,SUBTOTAL(101,Tableau13[Résultats For1]))/5*100</f>
        <v>0</v>
      </c>
      <c r="E26" s="169">
        <f>IF(SUBTOTAL(102,Tableau13[Résultats For2])=0,0,SUBTOTAL(101,Tableau13[Résultats For2]))/5*100</f>
        <v>0</v>
      </c>
      <c r="F26" s="169">
        <f>IF(SUBTOTAL(102,Tableau13[Résultats Som1])=0,0,SUBTOTAL(101,Tableau13[Résultats Som1]))/5*100</f>
        <v>0</v>
      </c>
      <c r="G26" s="169">
        <f>IF(SUBTOTAL(102,Tableau13[Résultats Som2])=0,0,SUBTOTAL(101,Tableau13[Résultats Som2]))/5*100</f>
        <v>0</v>
      </c>
    </row>
    <row r="31" spans="3:7" ht="15" customHeight="1" x14ac:dyDescent="0.25"/>
    <row r="32" spans="3:7" ht="15" customHeight="1" x14ac:dyDescent="0.25"/>
    <row r="33" spans="9:31" ht="15" customHeight="1" x14ac:dyDescent="0.25"/>
    <row r="34" spans="9:31" ht="15" customHeight="1" x14ac:dyDescent="0.25"/>
    <row r="35" spans="9:31" ht="15" customHeight="1" x14ac:dyDescent="0.25"/>
    <row r="36" spans="9:31" ht="15" customHeight="1" x14ac:dyDescent="0.25"/>
    <row r="37" spans="9:31" ht="15" customHeight="1" x14ac:dyDescent="0.25"/>
    <row r="38" spans="9:31" ht="15" customHeight="1" x14ac:dyDescent="0.25"/>
    <row r="39" spans="9:31" ht="15" customHeight="1" x14ac:dyDescent="0.25">
      <c r="L39" s="433" t="s">
        <v>25</v>
      </c>
      <c r="M39" s="433"/>
      <c r="N39" s="433"/>
      <c r="O39" s="433"/>
      <c r="P39" s="433"/>
      <c r="Q39" s="433"/>
      <c r="R39" s="433"/>
      <c r="S39" s="433"/>
      <c r="T39" s="433"/>
      <c r="U39" s="433"/>
      <c r="V39" s="436" t="s">
        <v>26</v>
      </c>
      <c r="W39" s="436"/>
      <c r="X39" s="436"/>
      <c r="Y39" s="436"/>
      <c r="Z39" s="436"/>
      <c r="AA39" s="436"/>
      <c r="AB39" s="436"/>
      <c r="AC39" s="436"/>
      <c r="AD39" s="436"/>
      <c r="AE39" s="436"/>
    </row>
    <row r="40" spans="9:31" ht="15" customHeight="1" x14ac:dyDescent="0.25">
      <c r="L40" s="431" t="s">
        <v>114</v>
      </c>
      <c r="M40" s="431"/>
      <c r="N40" s="431"/>
      <c r="O40" s="431"/>
      <c r="P40" s="431"/>
      <c r="Q40" s="432" t="s">
        <v>115</v>
      </c>
      <c r="R40" s="432"/>
      <c r="S40" s="432"/>
      <c r="T40" s="432"/>
      <c r="U40" s="432"/>
      <c r="V40" s="437" t="s">
        <v>116</v>
      </c>
      <c r="W40" s="437"/>
      <c r="X40" s="437"/>
      <c r="Y40" s="437"/>
      <c r="Z40" s="437"/>
      <c r="AA40" s="432" t="s">
        <v>117</v>
      </c>
      <c r="AB40" s="432"/>
      <c r="AC40" s="432"/>
      <c r="AD40" s="432"/>
      <c r="AE40" s="432"/>
    </row>
    <row r="41" spans="9:31" ht="15" customHeight="1" x14ac:dyDescent="0.25"/>
    <row r="42" spans="9:31" ht="30" customHeight="1" x14ac:dyDescent="0.25">
      <c r="I42" t="s">
        <v>102</v>
      </c>
      <c r="J42" t="s">
        <v>118</v>
      </c>
      <c r="K42" t="s">
        <v>96</v>
      </c>
      <c r="L42" t="s">
        <v>119</v>
      </c>
      <c r="M42" t="s">
        <v>120</v>
      </c>
      <c r="N42" t="s">
        <v>121</v>
      </c>
      <c r="O42" t="s">
        <v>122</v>
      </c>
      <c r="P42" t="s">
        <v>123</v>
      </c>
      <c r="Q42" t="s">
        <v>124</v>
      </c>
      <c r="R42" t="s">
        <v>125</v>
      </c>
      <c r="S42" t="s">
        <v>126</v>
      </c>
      <c r="T42" t="s">
        <v>127</v>
      </c>
      <c r="U42" t="s">
        <v>128</v>
      </c>
      <c r="V42" t="s">
        <v>129</v>
      </c>
      <c r="W42" t="s">
        <v>130</v>
      </c>
      <c r="X42" t="s">
        <v>131</v>
      </c>
      <c r="Y42" t="s">
        <v>132</v>
      </c>
      <c r="Z42" t="s">
        <v>133</v>
      </c>
      <c r="AA42" t="s">
        <v>134</v>
      </c>
      <c r="AB42" t="s">
        <v>135</v>
      </c>
      <c r="AC42" t="s">
        <v>136</v>
      </c>
      <c r="AD42" t="s">
        <v>137</v>
      </c>
      <c r="AE42" t="s">
        <v>138</v>
      </c>
    </row>
    <row r="43" spans="9:31" ht="15" customHeight="1" x14ac:dyDescent="0.25">
      <c r="I43" t="s">
        <v>139</v>
      </c>
      <c r="J43" s="15" t="s">
        <v>140</v>
      </c>
      <c r="K43" t="s">
        <v>141</v>
      </c>
      <c r="L43" s="169">
        <f>IF(AND($B$78=TRUE,tblBilanFormatifSommatif[[#This Row],[Groupe]]="Fondatrices"),D14,NA())</f>
        <v>0</v>
      </c>
      <c r="M43" s="169" t="e">
        <f>IF(AND($B$78=TRUE,tblBilanFormatifSommatif[[#This Row],[Groupe]]="Champ 1"),D14,NA())</f>
        <v>#N/A</v>
      </c>
      <c r="N43" s="169" t="e">
        <f>IF(AND($B$78=TRUE,tblBilanFormatifSommatif[[#This Row],[Groupe]]="Champ 2"),D14,NA())</f>
        <v>#N/A</v>
      </c>
      <c r="O43" s="169" t="e">
        <f>IF(AND($B$78=TRUE,tblBilanFormatifSommatif[[#This Row],[Groupe]]="Champ 3"),D14,NA())</f>
        <v>#N/A</v>
      </c>
      <c r="P43" s="169" t="e">
        <f>IF(AND($B$78=TRUE,tblBilanFormatifSommatif[[#This Row],[Groupe]]="Transversales"),D14,NA())</f>
        <v>#N/A</v>
      </c>
      <c r="Q43" s="169">
        <f>IF(AND($B$79=TRUE,tblBilanFormatifSommatif[[#This Row],[Groupe]]="Fondatrices"),E14,NA())</f>
        <v>0</v>
      </c>
      <c r="R43" s="169" t="e">
        <f>IF(AND($B$79=TRUE,tblBilanFormatifSommatif[[#This Row],[Groupe]]="Champ 1"),E14,NA())</f>
        <v>#N/A</v>
      </c>
      <c r="S43" s="169" t="e">
        <f>IF(AND($B$79=TRUE,tblBilanFormatifSommatif[[#This Row],[Groupe]]="Champ 2"),E14,NA())</f>
        <v>#N/A</v>
      </c>
      <c r="T43" s="169" t="e">
        <f>IF(AND($B$79=TRUE,tblBilanFormatifSommatif[[#This Row],[Groupe]]="Champ 3"),E14,NA())</f>
        <v>#N/A</v>
      </c>
      <c r="U43" s="169" t="e">
        <f>IF(AND($B$79=TRUE,tblBilanFormatifSommatif[[#This Row],[Groupe]]="Transversales"),E14,NA())</f>
        <v>#N/A</v>
      </c>
      <c r="V43" s="169">
        <f>IF(AND($B$80=TRUE,tblBilanFormatifSommatif[[#This Row],[Groupe]]="Fondatrices"),F14,"")</f>
        <v>0</v>
      </c>
      <c r="W43" s="169" t="str">
        <f>IF(AND($B$80=TRUE,tblBilanFormatifSommatif[[#This Row],[Groupe]]="Champ 1"),F14,"")</f>
        <v/>
      </c>
      <c r="X43" s="169" t="str">
        <f>IF(AND($B$80=TRUE,tblBilanFormatifSommatif[[#This Row],[Groupe]]="Champ 2"),F14,"")</f>
        <v/>
      </c>
      <c r="Y43" s="169" t="str">
        <f>IF(AND($B$80=TRUE,tblBilanFormatifSommatif[[#This Row],[Groupe]]="Champ 3"),F14,"")</f>
        <v/>
      </c>
      <c r="Z43" s="169" t="str">
        <f>IF(AND($B$80=TRUE,tblBilanFormatifSommatif[[#This Row],[Groupe]]="Transversales"),F14,"")</f>
        <v/>
      </c>
      <c r="AA43" s="169">
        <f>IF(AND($B$81=TRUE,tblBilanFormatifSommatif[[#This Row],[Groupe]]="Fondatrices"),G14,"")</f>
        <v>0</v>
      </c>
      <c r="AB43" s="169" t="str">
        <f>IF(AND($B$81=TRUE,tblBilanFormatifSommatif[[#This Row],[Groupe]]="Champ 1"),G14,"")</f>
        <v/>
      </c>
      <c r="AC43" s="169" t="str">
        <f>IF(AND($B$81=TRUE,tblBilanFormatifSommatif[[#This Row],[Groupe]]="Champ 2"),G14,"")</f>
        <v/>
      </c>
      <c r="AD43" s="169" t="str">
        <f>IF(AND($B$81=TRUE,tblBilanFormatifSommatif[[#This Row],[Groupe]]="Champ 3"),G14,"")</f>
        <v/>
      </c>
      <c r="AE43" s="169" t="str">
        <f>IF(AND($B$81=TRUE,tblBilanFormatifSommatif[[#This Row],[Groupe]]="Transversales"),G14,"")</f>
        <v/>
      </c>
    </row>
    <row r="44" spans="9:31" ht="15" customHeight="1" x14ac:dyDescent="0.25">
      <c r="I44" t="s">
        <v>139</v>
      </c>
      <c r="J44" s="15" t="s">
        <v>142</v>
      </c>
      <c r="K44" t="s">
        <v>143</v>
      </c>
      <c r="L44" s="169">
        <f>IF(AND($B$78=TRUE,tblBilanFormatifSommatif[[#This Row],[Groupe]]="Fondatrices"),D15,NA())</f>
        <v>0</v>
      </c>
      <c r="M44" s="169" t="e">
        <f>IF(AND($B$78=TRUE,tblBilanFormatifSommatif[[#This Row],[Groupe]]="Champ 1"),D15,NA())</f>
        <v>#N/A</v>
      </c>
      <c r="N44" s="169" t="e">
        <f>IF(AND($B$78=TRUE,tblBilanFormatifSommatif[[#This Row],[Groupe]]="Champ 2"),D15,NA())</f>
        <v>#N/A</v>
      </c>
      <c r="O44" s="169" t="e">
        <f>IF(AND($B$78=TRUE,tblBilanFormatifSommatif[[#This Row],[Groupe]]="Champ 3"),D15,NA())</f>
        <v>#N/A</v>
      </c>
      <c r="P44" s="169" t="e">
        <f>IF(AND($B$78=TRUE,tblBilanFormatifSommatif[[#This Row],[Groupe]]="Transversales"),D15,NA())</f>
        <v>#N/A</v>
      </c>
      <c r="Q44" s="169">
        <f>IF(AND($B$79=TRUE,tblBilanFormatifSommatif[[#This Row],[Groupe]]="Fondatrices"),E15,NA())</f>
        <v>0</v>
      </c>
      <c r="R44" s="169" t="e">
        <f>IF(AND($B$79=TRUE,tblBilanFormatifSommatif[[#This Row],[Groupe]]="Champ 1"),E15,NA())</f>
        <v>#N/A</v>
      </c>
      <c r="S44" s="169" t="e">
        <f>IF(AND($B$79=TRUE,tblBilanFormatifSommatif[[#This Row],[Groupe]]="Champ 2"),E15,NA())</f>
        <v>#N/A</v>
      </c>
      <c r="T44" s="169" t="e">
        <f>IF(AND($B$79=TRUE,tblBilanFormatifSommatif[[#This Row],[Groupe]]="Champ 3"),E15,NA())</f>
        <v>#N/A</v>
      </c>
      <c r="U44" s="169" t="e">
        <f>IF(AND($B$79=TRUE,tblBilanFormatifSommatif[[#This Row],[Groupe]]="Transversales"),E15,NA())</f>
        <v>#N/A</v>
      </c>
      <c r="V44" s="169">
        <f>IF(AND($B$80=TRUE,tblBilanFormatifSommatif[[#This Row],[Groupe]]="Fondatrices"),F15,"")</f>
        <v>0</v>
      </c>
      <c r="W44" s="169" t="str">
        <f>IF(AND($B$80=TRUE,tblBilanFormatifSommatif[[#This Row],[Groupe]]="Champ 1"),F15,"")</f>
        <v/>
      </c>
      <c r="X44" s="169" t="str">
        <f>IF(AND($B$80=TRUE,tblBilanFormatifSommatif[[#This Row],[Groupe]]="Champ 2"),F15,"")</f>
        <v/>
      </c>
      <c r="Y44" s="169" t="str">
        <f>IF(AND($B$80=TRUE,tblBilanFormatifSommatif[[#This Row],[Groupe]]="Champ 3"),F15,"")</f>
        <v/>
      </c>
      <c r="Z44" s="169" t="str">
        <f>IF(AND($B$80=TRUE,tblBilanFormatifSommatif[[#This Row],[Groupe]]="Transversales"),F15,"")</f>
        <v/>
      </c>
      <c r="AA44" s="169">
        <f>IF(AND($B$81=TRUE,tblBilanFormatifSommatif[[#This Row],[Groupe]]="Fondatrices"),G15,"")</f>
        <v>0</v>
      </c>
      <c r="AB44" s="169" t="str">
        <f>IF(AND($B$81=TRUE,tblBilanFormatifSommatif[[#This Row],[Groupe]]="Champ 1"),G15,"")</f>
        <v/>
      </c>
      <c r="AC44" s="169" t="str">
        <f>IF(AND($B$81=TRUE,tblBilanFormatifSommatif[[#This Row],[Groupe]]="Champ 2"),G15,"")</f>
        <v/>
      </c>
      <c r="AD44" s="169" t="str">
        <f>IF(AND($B$81=TRUE,tblBilanFormatifSommatif[[#This Row],[Groupe]]="Champ 3"),G15,"")</f>
        <v/>
      </c>
      <c r="AE44" s="169" t="str">
        <f>IF(AND($B$81=TRUE,tblBilanFormatifSommatif[[#This Row],[Groupe]]="Transversales"),G15,"")</f>
        <v/>
      </c>
    </row>
    <row r="45" spans="9:31" ht="15" customHeight="1" x14ac:dyDescent="0.25">
      <c r="I45" t="s">
        <v>144</v>
      </c>
      <c r="J45" s="15" t="s">
        <v>145</v>
      </c>
      <c r="K45" t="s">
        <v>146</v>
      </c>
      <c r="L45" s="169" t="e">
        <f>IF(AND($B$78=TRUE,tblBilanFormatifSommatif[[#This Row],[Groupe]]="Fondatrices"),D16,NA())</f>
        <v>#N/A</v>
      </c>
      <c r="M45" s="169">
        <f>IF(AND($B$78=TRUE,tblBilanFormatifSommatif[[#This Row],[Groupe]]="Champ 1"),D16,NA())</f>
        <v>0</v>
      </c>
      <c r="N45" s="169" t="e">
        <f>IF(AND($B$78=TRUE,tblBilanFormatifSommatif[[#This Row],[Groupe]]="Champ 2"),D16,NA())</f>
        <v>#N/A</v>
      </c>
      <c r="O45" s="169" t="e">
        <f>IF(AND($B$78=TRUE,tblBilanFormatifSommatif[[#This Row],[Groupe]]="Champ 3"),D16,NA())</f>
        <v>#N/A</v>
      </c>
      <c r="P45" s="169" t="e">
        <f>IF(AND($B$78=TRUE,tblBilanFormatifSommatif[[#This Row],[Groupe]]="Transversales"),D16,NA())</f>
        <v>#N/A</v>
      </c>
      <c r="Q45" s="169" t="e">
        <f>IF(AND($B$79=TRUE,tblBilanFormatifSommatif[[#This Row],[Groupe]]="Fondatrices"),E16,NA())</f>
        <v>#N/A</v>
      </c>
      <c r="R45" s="169">
        <f>IF(AND($B$79=TRUE,tblBilanFormatifSommatif[[#This Row],[Groupe]]="Champ 1"),E16,NA())</f>
        <v>0</v>
      </c>
      <c r="S45" s="169" t="e">
        <f>IF(AND($B$79=TRUE,tblBilanFormatifSommatif[[#This Row],[Groupe]]="Champ 2"),E16,NA())</f>
        <v>#N/A</v>
      </c>
      <c r="T45" s="169" t="e">
        <f>IF(AND($B$79=TRUE,tblBilanFormatifSommatif[[#This Row],[Groupe]]="Champ 3"),E16,NA())</f>
        <v>#N/A</v>
      </c>
      <c r="U45" s="169" t="e">
        <f>IF(AND($B$79=TRUE,tblBilanFormatifSommatif[[#This Row],[Groupe]]="Transversales"),E16,NA())</f>
        <v>#N/A</v>
      </c>
      <c r="V45" s="169" t="str">
        <f>IF(AND($B$80=TRUE,tblBilanFormatifSommatif[[#This Row],[Groupe]]="Fondatrices"),F16,"")</f>
        <v/>
      </c>
      <c r="W45" s="169">
        <f>IF(AND($B$80=TRUE,tblBilanFormatifSommatif[[#This Row],[Groupe]]="Champ 1"),F16,"")</f>
        <v>0</v>
      </c>
      <c r="X45" s="169" t="str">
        <f>IF(AND($B$80=TRUE,tblBilanFormatifSommatif[[#This Row],[Groupe]]="Champ 2"),F16,"")</f>
        <v/>
      </c>
      <c r="Y45" s="169" t="str">
        <f>IF(AND($B$80=TRUE,tblBilanFormatifSommatif[[#This Row],[Groupe]]="Champ 3"),F16,"")</f>
        <v/>
      </c>
      <c r="Z45" s="169" t="str">
        <f>IF(AND($B$80=TRUE,tblBilanFormatifSommatif[[#This Row],[Groupe]]="Transversales"),F16,"")</f>
        <v/>
      </c>
      <c r="AA45" s="169" t="str">
        <f>IF(AND($B$81=TRUE,tblBilanFormatifSommatif[[#This Row],[Groupe]]="Fondatrices"),G16,"")</f>
        <v/>
      </c>
      <c r="AB45" s="169">
        <f>IF(AND($B$81=TRUE,tblBilanFormatifSommatif[[#This Row],[Groupe]]="Champ 1"),G16,"")</f>
        <v>0</v>
      </c>
      <c r="AC45" s="169" t="str">
        <f>IF(AND($B$81=TRUE,tblBilanFormatifSommatif[[#This Row],[Groupe]]="Champ 2"),G16,"")</f>
        <v/>
      </c>
      <c r="AD45" s="169" t="str">
        <f>IF(AND($B$81=TRUE,tblBilanFormatifSommatif[[#This Row],[Groupe]]="Champ 3"),G16,"")</f>
        <v/>
      </c>
      <c r="AE45" s="169" t="str">
        <f>IF(AND($B$81=TRUE,tblBilanFormatifSommatif[[#This Row],[Groupe]]="Transversales"),G16,"")</f>
        <v/>
      </c>
    </row>
    <row r="46" spans="9:31" ht="15" customHeight="1" x14ac:dyDescent="0.25">
      <c r="I46" t="s">
        <v>144</v>
      </c>
      <c r="J46" s="15" t="s">
        <v>147</v>
      </c>
      <c r="K46" t="s">
        <v>148</v>
      </c>
      <c r="L46" s="169" t="e">
        <f>IF(AND($B$78=TRUE,tblBilanFormatifSommatif[[#This Row],[Groupe]]="Fondatrices"),D17,NA())</f>
        <v>#N/A</v>
      </c>
      <c r="M46" s="169">
        <f>IF(AND($B$78=TRUE,tblBilanFormatifSommatif[[#This Row],[Groupe]]="Champ 1"),D17,NA())</f>
        <v>0</v>
      </c>
      <c r="N46" s="169" t="e">
        <f>IF(AND($B$78=TRUE,tblBilanFormatifSommatif[[#This Row],[Groupe]]="Champ 2"),D17,NA())</f>
        <v>#N/A</v>
      </c>
      <c r="O46" s="169" t="e">
        <f>IF(AND($B$78=TRUE,tblBilanFormatifSommatif[[#This Row],[Groupe]]="Champ 3"),D17,NA())</f>
        <v>#N/A</v>
      </c>
      <c r="P46" s="169" t="e">
        <f>IF(AND($B$78=TRUE,tblBilanFormatifSommatif[[#This Row],[Groupe]]="Transversales"),D17,NA())</f>
        <v>#N/A</v>
      </c>
      <c r="Q46" s="169" t="e">
        <f>IF(AND($B$79=TRUE,tblBilanFormatifSommatif[[#This Row],[Groupe]]="Fondatrices"),E17,NA())</f>
        <v>#N/A</v>
      </c>
      <c r="R46" s="169">
        <f>IF(AND($B$79=TRUE,tblBilanFormatifSommatif[[#This Row],[Groupe]]="Champ 1"),E17,NA())</f>
        <v>0</v>
      </c>
      <c r="S46" s="169" t="e">
        <f>IF(AND($B$79=TRUE,tblBilanFormatifSommatif[[#This Row],[Groupe]]="Champ 2"),E17,NA())</f>
        <v>#N/A</v>
      </c>
      <c r="T46" s="169" t="e">
        <f>IF(AND($B$79=TRUE,tblBilanFormatifSommatif[[#This Row],[Groupe]]="Champ 3"),E17,NA())</f>
        <v>#N/A</v>
      </c>
      <c r="U46" s="169" t="e">
        <f>IF(AND($B$79=TRUE,tblBilanFormatifSommatif[[#This Row],[Groupe]]="Transversales"),E17,NA())</f>
        <v>#N/A</v>
      </c>
      <c r="V46" s="169" t="str">
        <f>IF(AND($B$80=TRUE,tblBilanFormatifSommatif[[#This Row],[Groupe]]="Fondatrices"),F17,"")</f>
        <v/>
      </c>
      <c r="W46" s="169">
        <f>IF(AND($B$80=TRUE,tblBilanFormatifSommatif[[#This Row],[Groupe]]="Champ 1"),F17,"")</f>
        <v>0</v>
      </c>
      <c r="X46" s="169" t="str">
        <f>IF(AND($B$80=TRUE,tblBilanFormatifSommatif[[#This Row],[Groupe]]="Champ 2"),F17,"")</f>
        <v/>
      </c>
      <c r="Y46" s="169" t="str">
        <f>IF(AND($B$80=TRUE,tblBilanFormatifSommatif[[#This Row],[Groupe]]="Champ 3"),F17,"")</f>
        <v/>
      </c>
      <c r="Z46" s="169" t="str">
        <f>IF(AND($B$80=TRUE,tblBilanFormatifSommatif[[#This Row],[Groupe]]="Transversales"),F17,"")</f>
        <v/>
      </c>
      <c r="AA46" s="169" t="str">
        <f>IF(AND($B$81=TRUE,tblBilanFormatifSommatif[[#This Row],[Groupe]]="Fondatrices"),G17,"")</f>
        <v/>
      </c>
      <c r="AB46" s="169">
        <f>IF(AND($B$81=TRUE,tblBilanFormatifSommatif[[#This Row],[Groupe]]="Champ 1"),G17,"")</f>
        <v>0</v>
      </c>
      <c r="AC46" s="169" t="str">
        <f>IF(AND($B$81=TRUE,tblBilanFormatifSommatif[[#This Row],[Groupe]]="Champ 2"),G17,"")</f>
        <v/>
      </c>
      <c r="AD46" s="169" t="str">
        <f>IF(AND($B$81=TRUE,tblBilanFormatifSommatif[[#This Row],[Groupe]]="Champ 3"),G17,"")</f>
        <v/>
      </c>
      <c r="AE46" s="169" t="str">
        <f>IF(AND($B$81=TRUE,tblBilanFormatifSommatif[[#This Row],[Groupe]]="Transversales"),G17,"")</f>
        <v/>
      </c>
    </row>
    <row r="47" spans="9:31" ht="15" customHeight="1" x14ac:dyDescent="0.25">
      <c r="I47" t="s">
        <v>144</v>
      </c>
      <c r="J47" s="15" t="s">
        <v>149</v>
      </c>
      <c r="K47" t="s">
        <v>150</v>
      </c>
      <c r="L47" s="169" t="e">
        <f>IF(AND($B$78=TRUE,tblBilanFormatifSommatif[[#This Row],[Groupe]]="Fondatrices"),D18,NA())</f>
        <v>#N/A</v>
      </c>
      <c r="M47" s="169">
        <f>IF(AND($B$78=TRUE,tblBilanFormatifSommatif[[#This Row],[Groupe]]="Champ 1"),D18,NA())</f>
        <v>0</v>
      </c>
      <c r="N47" s="169" t="e">
        <f>IF(AND($B$78=TRUE,tblBilanFormatifSommatif[[#This Row],[Groupe]]="Champ 2"),D18,NA())</f>
        <v>#N/A</v>
      </c>
      <c r="O47" s="169" t="e">
        <f>IF(AND($B$78=TRUE,tblBilanFormatifSommatif[[#This Row],[Groupe]]="Champ 3"),D18,NA())</f>
        <v>#N/A</v>
      </c>
      <c r="P47" s="169" t="e">
        <f>IF(AND($B$78=TRUE,tblBilanFormatifSommatif[[#This Row],[Groupe]]="Transversales"),D18,NA())</f>
        <v>#N/A</v>
      </c>
      <c r="Q47" s="169" t="e">
        <f>IF(AND($B$79=TRUE,tblBilanFormatifSommatif[[#This Row],[Groupe]]="Fondatrices"),E18,NA())</f>
        <v>#N/A</v>
      </c>
      <c r="R47" s="169">
        <f>IF(AND($B$79=TRUE,tblBilanFormatifSommatif[[#This Row],[Groupe]]="Champ 1"),E18,NA())</f>
        <v>0</v>
      </c>
      <c r="S47" s="169" t="e">
        <f>IF(AND($B$79=TRUE,tblBilanFormatifSommatif[[#This Row],[Groupe]]="Champ 2"),E18,NA())</f>
        <v>#N/A</v>
      </c>
      <c r="T47" s="169" t="e">
        <f>IF(AND($B$79=TRUE,tblBilanFormatifSommatif[[#This Row],[Groupe]]="Champ 3"),E18,NA())</f>
        <v>#N/A</v>
      </c>
      <c r="U47" s="169" t="e">
        <f>IF(AND($B$79=TRUE,tblBilanFormatifSommatif[[#This Row],[Groupe]]="Transversales"),E18,NA())</f>
        <v>#N/A</v>
      </c>
      <c r="V47" s="169" t="str">
        <f>IF(AND($B$80=TRUE,tblBilanFormatifSommatif[[#This Row],[Groupe]]="Fondatrices"),F18,"")</f>
        <v/>
      </c>
      <c r="W47" s="169">
        <f>IF(AND($B$80=TRUE,tblBilanFormatifSommatif[[#This Row],[Groupe]]="Champ 1"),F18,"")</f>
        <v>0</v>
      </c>
      <c r="X47" s="169" t="str">
        <f>IF(AND($B$80=TRUE,tblBilanFormatifSommatif[[#This Row],[Groupe]]="Champ 2"),F18,"")</f>
        <v/>
      </c>
      <c r="Y47" s="169" t="str">
        <f>IF(AND($B$80=TRUE,tblBilanFormatifSommatif[[#This Row],[Groupe]]="Champ 3"),F18,"")</f>
        <v/>
      </c>
      <c r="Z47" s="169" t="str">
        <f>IF(AND($B$80=TRUE,tblBilanFormatifSommatif[[#This Row],[Groupe]]="Transversales"),F18,"")</f>
        <v/>
      </c>
      <c r="AA47" s="169" t="str">
        <f>IF(AND($B$81=TRUE,tblBilanFormatifSommatif[[#This Row],[Groupe]]="Fondatrices"),G18,"")</f>
        <v/>
      </c>
      <c r="AB47" s="169">
        <f>IF(AND($B$81=TRUE,tblBilanFormatifSommatif[[#This Row],[Groupe]]="Champ 1"),G18,"")</f>
        <v>0</v>
      </c>
      <c r="AC47" s="169" t="str">
        <f>IF(AND($B$81=TRUE,tblBilanFormatifSommatif[[#This Row],[Groupe]]="Champ 2"),G18,"")</f>
        <v/>
      </c>
      <c r="AD47" s="169" t="str">
        <f>IF(AND($B$81=TRUE,tblBilanFormatifSommatif[[#This Row],[Groupe]]="Champ 3"),G18,"")</f>
        <v/>
      </c>
      <c r="AE47" s="169" t="str">
        <f>IF(AND($B$81=TRUE,tblBilanFormatifSommatif[[#This Row],[Groupe]]="Transversales"),G18,"")</f>
        <v/>
      </c>
    </row>
    <row r="48" spans="9:31" ht="15" customHeight="1" x14ac:dyDescent="0.25">
      <c r="I48" t="s">
        <v>144</v>
      </c>
      <c r="J48" t="s">
        <v>151</v>
      </c>
      <c r="K48" t="s">
        <v>152</v>
      </c>
      <c r="L48" s="169" t="e">
        <f>IF(AND($B$78=TRUE,tblBilanFormatifSommatif[[#This Row],[Groupe]]="Fondatrices"),D19,NA())</f>
        <v>#N/A</v>
      </c>
      <c r="M48" s="169">
        <f>IF(AND($B$78=TRUE,tblBilanFormatifSommatif[[#This Row],[Groupe]]="Champ 1"),D19,NA())</f>
        <v>0</v>
      </c>
      <c r="N48" s="169" t="e">
        <f>IF(AND($B$78=TRUE,tblBilanFormatifSommatif[[#This Row],[Groupe]]="Champ 2"),D19,NA())</f>
        <v>#N/A</v>
      </c>
      <c r="O48" s="169" t="e">
        <f>IF(AND($B$78=TRUE,tblBilanFormatifSommatif[[#This Row],[Groupe]]="Champ 3"),D19,NA())</f>
        <v>#N/A</v>
      </c>
      <c r="P48" s="169" t="e">
        <f>IF(AND($B$78=TRUE,tblBilanFormatifSommatif[[#This Row],[Groupe]]="Transversales"),D19,NA())</f>
        <v>#N/A</v>
      </c>
      <c r="Q48" s="169" t="e">
        <f>IF(AND($B$79=TRUE,tblBilanFormatifSommatif[[#This Row],[Groupe]]="Fondatrices"),E19,NA())</f>
        <v>#N/A</v>
      </c>
      <c r="R48" s="169">
        <f>IF(AND($B$79=TRUE,tblBilanFormatifSommatif[[#This Row],[Groupe]]="Champ 1"),E19,NA())</f>
        <v>0</v>
      </c>
      <c r="S48" s="169" t="e">
        <f>IF(AND($B$79=TRUE,tblBilanFormatifSommatif[[#This Row],[Groupe]]="Champ 2"),E19,NA())</f>
        <v>#N/A</v>
      </c>
      <c r="T48" s="169" t="e">
        <f>IF(AND($B$79=TRUE,tblBilanFormatifSommatif[[#This Row],[Groupe]]="Champ 3"),E19,NA())</f>
        <v>#N/A</v>
      </c>
      <c r="U48" s="169" t="e">
        <f>IF(AND($B$79=TRUE,tblBilanFormatifSommatif[[#This Row],[Groupe]]="Transversales"),E19,NA())</f>
        <v>#N/A</v>
      </c>
      <c r="V48" s="169" t="str">
        <f>IF(AND($B$80=TRUE,tblBilanFormatifSommatif[[#This Row],[Groupe]]="Fondatrices"),F19,"")</f>
        <v/>
      </c>
      <c r="W48" s="169">
        <f>IF(AND($B$80=TRUE,tblBilanFormatifSommatif[[#This Row],[Groupe]]="Champ 1"),F19,"")</f>
        <v>0</v>
      </c>
      <c r="X48" s="169" t="str">
        <f>IF(AND($B$80=TRUE,tblBilanFormatifSommatif[[#This Row],[Groupe]]="Champ 2"),F19,"")</f>
        <v/>
      </c>
      <c r="Y48" s="169" t="str">
        <f>IF(AND($B$80=TRUE,tblBilanFormatifSommatif[[#This Row],[Groupe]]="Champ 3"),F19,"")</f>
        <v/>
      </c>
      <c r="Z48" s="169" t="str">
        <f>IF(AND($B$80=TRUE,tblBilanFormatifSommatif[[#This Row],[Groupe]]="Transversales"),F19,"")</f>
        <v/>
      </c>
      <c r="AA48" s="169" t="str">
        <f>IF(AND($B$81=TRUE,tblBilanFormatifSommatif[[#This Row],[Groupe]]="Fondatrices"),G19,"")</f>
        <v/>
      </c>
      <c r="AB48" s="169">
        <f>IF(AND($B$81=TRUE,tblBilanFormatifSommatif[[#This Row],[Groupe]]="Champ 1"),G19,"")</f>
        <v>0</v>
      </c>
      <c r="AC48" s="169" t="str">
        <f>IF(AND($B$81=TRUE,tblBilanFormatifSommatif[[#This Row],[Groupe]]="Champ 2"),G19,"")</f>
        <v/>
      </c>
      <c r="AD48" s="169" t="str">
        <f>IF(AND($B$81=TRUE,tblBilanFormatifSommatif[[#This Row],[Groupe]]="Champ 3"),G19,"")</f>
        <v/>
      </c>
      <c r="AE48" s="169" t="str">
        <f>IF(AND($B$81=TRUE,tblBilanFormatifSommatif[[#This Row],[Groupe]]="Transversales"),G19,"")</f>
        <v/>
      </c>
    </row>
    <row r="49" spans="1:31" ht="15" customHeight="1" x14ac:dyDescent="0.25">
      <c r="I49" t="s">
        <v>144</v>
      </c>
      <c r="J49" t="s">
        <v>153</v>
      </c>
      <c r="K49" t="s">
        <v>154</v>
      </c>
      <c r="L49" s="169" t="e">
        <f>IF(AND($B$78=TRUE,tblBilanFormatifSommatif[[#This Row],[Groupe]]="Fondatrices"),D20,NA())</f>
        <v>#N/A</v>
      </c>
      <c r="M49" s="169">
        <f>IF(AND($B$78=TRUE,tblBilanFormatifSommatif[[#This Row],[Groupe]]="Champ 1"),D20,NA())</f>
        <v>0</v>
      </c>
      <c r="N49" s="169" t="e">
        <f>IF(AND($B$78=TRUE,tblBilanFormatifSommatif[[#This Row],[Groupe]]="Champ 2"),D20,NA())</f>
        <v>#N/A</v>
      </c>
      <c r="O49" s="169" t="e">
        <f>IF(AND($B$78=TRUE,tblBilanFormatifSommatif[[#This Row],[Groupe]]="Champ 3"),D20,NA())</f>
        <v>#N/A</v>
      </c>
      <c r="P49" s="169" t="e">
        <f>IF(AND($B$78=TRUE,tblBilanFormatifSommatif[[#This Row],[Groupe]]="Transversales"),D20,NA())</f>
        <v>#N/A</v>
      </c>
      <c r="Q49" s="169" t="e">
        <f>IF(AND($B$79=TRUE,tblBilanFormatifSommatif[[#This Row],[Groupe]]="Fondatrices"),E20,NA())</f>
        <v>#N/A</v>
      </c>
      <c r="R49" s="169">
        <f>IF(AND($B$79=TRUE,tblBilanFormatifSommatif[[#This Row],[Groupe]]="Champ 1"),E20,NA())</f>
        <v>0</v>
      </c>
      <c r="S49" s="169" t="e">
        <f>IF(AND($B$79=TRUE,tblBilanFormatifSommatif[[#This Row],[Groupe]]="Champ 2"),E20,NA())</f>
        <v>#N/A</v>
      </c>
      <c r="T49" s="169" t="e">
        <f>IF(AND($B$79=TRUE,tblBilanFormatifSommatif[[#This Row],[Groupe]]="Champ 3"),E20,NA())</f>
        <v>#N/A</v>
      </c>
      <c r="U49" s="169" t="e">
        <f>IF(AND($B$79=TRUE,tblBilanFormatifSommatif[[#This Row],[Groupe]]="Transversales"),E20,NA())</f>
        <v>#N/A</v>
      </c>
      <c r="V49" s="169" t="str">
        <f>IF(AND($B$80=TRUE,tblBilanFormatifSommatif[[#This Row],[Groupe]]="Fondatrices"),F20,"")</f>
        <v/>
      </c>
      <c r="W49" s="169">
        <f>IF(AND($B$80=TRUE,tblBilanFormatifSommatif[[#This Row],[Groupe]]="Champ 1"),F20,"")</f>
        <v>0</v>
      </c>
      <c r="X49" s="169" t="str">
        <f>IF(AND($B$80=TRUE,tblBilanFormatifSommatif[[#This Row],[Groupe]]="Champ 2"),F20,"")</f>
        <v/>
      </c>
      <c r="Y49" s="169" t="str">
        <f>IF(AND($B$80=TRUE,tblBilanFormatifSommatif[[#This Row],[Groupe]]="Champ 3"),F20,"")</f>
        <v/>
      </c>
      <c r="Z49" s="169" t="str">
        <f>IF(AND($B$80=TRUE,tblBilanFormatifSommatif[[#This Row],[Groupe]]="Transversales"),F20,"")</f>
        <v/>
      </c>
      <c r="AA49" s="169" t="str">
        <f>IF(AND($B$81=TRUE,tblBilanFormatifSommatif[[#This Row],[Groupe]]="Fondatrices"),G20,"")</f>
        <v/>
      </c>
      <c r="AB49" s="169">
        <f>IF(AND($B$81=TRUE,tblBilanFormatifSommatif[[#This Row],[Groupe]]="Champ 1"),G20,"")</f>
        <v>0</v>
      </c>
      <c r="AC49" s="169" t="str">
        <f>IF(AND($B$81=TRUE,tblBilanFormatifSommatif[[#This Row],[Groupe]]="Champ 2"),G20,"")</f>
        <v/>
      </c>
      <c r="AD49" s="169" t="str">
        <f>IF(AND($B$81=TRUE,tblBilanFormatifSommatif[[#This Row],[Groupe]]="Champ 3"),G20,"")</f>
        <v/>
      </c>
      <c r="AE49" s="169" t="str">
        <f>IF(AND($B$81=TRUE,tblBilanFormatifSommatif[[#This Row],[Groupe]]="Transversales"),G20,"")</f>
        <v/>
      </c>
    </row>
    <row r="50" spans="1:31" ht="15" customHeight="1" x14ac:dyDescent="0.25">
      <c r="I50" t="s">
        <v>144</v>
      </c>
      <c r="J50" t="s">
        <v>155</v>
      </c>
      <c r="K50" t="s">
        <v>156</v>
      </c>
      <c r="L50" s="169" t="e">
        <f>IF(AND($B$78=TRUE,tblBilanFormatifSommatif[[#This Row],[Groupe]]="Fondatrices"),D21,NA())</f>
        <v>#N/A</v>
      </c>
      <c r="M50" s="169">
        <f>IF(AND($B$78=TRUE,tblBilanFormatifSommatif[[#This Row],[Groupe]]="Champ 1"),D21,NA())</f>
        <v>0</v>
      </c>
      <c r="N50" s="169" t="e">
        <f>IF(AND($B$78=TRUE,tblBilanFormatifSommatif[[#This Row],[Groupe]]="Champ 2"),D21,NA())</f>
        <v>#N/A</v>
      </c>
      <c r="O50" s="169" t="e">
        <f>IF(AND($B$78=TRUE,tblBilanFormatifSommatif[[#This Row],[Groupe]]="Champ 3"),D21,NA())</f>
        <v>#N/A</v>
      </c>
      <c r="P50" s="169" t="e">
        <f>IF(AND($B$78=TRUE,tblBilanFormatifSommatif[[#This Row],[Groupe]]="Transversales"),D21,NA())</f>
        <v>#N/A</v>
      </c>
      <c r="Q50" s="169" t="e">
        <f>IF(AND($B$79=TRUE,tblBilanFormatifSommatif[[#This Row],[Groupe]]="Fondatrices"),E21,NA())</f>
        <v>#N/A</v>
      </c>
      <c r="R50" s="169">
        <f>IF(AND($B$79=TRUE,tblBilanFormatifSommatif[[#This Row],[Groupe]]="Champ 1"),E21,NA())</f>
        <v>0</v>
      </c>
      <c r="S50" s="169" t="e">
        <f>IF(AND($B$79=TRUE,tblBilanFormatifSommatif[[#This Row],[Groupe]]="Champ 2"),E21,NA())</f>
        <v>#N/A</v>
      </c>
      <c r="T50" s="169" t="e">
        <f>IF(AND($B$79=TRUE,tblBilanFormatifSommatif[[#This Row],[Groupe]]="Champ 3"),E21,NA())</f>
        <v>#N/A</v>
      </c>
      <c r="U50" s="169" t="e">
        <f>IF(AND($B$79=TRUE,tblBilanFormatifSommatif[[#This Row],[Groupe]]="Transversales"),E21,NA())</f>
        <v>#N/A</v>
      </c>
      <c r="V50" s="169" t="str">
        <f>IF(AND($B$80=TRUE,tblBilanFormatifSommatif[[#This Row],[Groupe]]="Fondatrices"),F21,"")</f>
        <v/>
      </c>
      <c r="W50" s="169">
        <f>IF(AND($B$80=TRUE,tblBilanFormatifSommatif[[#This Row],[Groupe]]="Champ 1"),F21,"")</f>
        <v>0</v>
      </c>
      <c r="X50" s="169" t="str">
        <f>IF(AND($B$80=TRUE,tblBilanFormatifSommatif[[#This Row],[Groupe]]="Champ 2"),F21,"")</f>
        <v/>
      </c>
      <c r="Y50" s="169" t="str">
        <f>IF(AND($B$80=TRUE,tblBilanFormatifSommatif[[#This Row],[Groupe]]="Champ 3"),F21,"")</f>
        <v/>
      </c>
      <c r="Z50" s="169" t="str">
        <f>IF(AND($B$80=TRUE,tblBilanFormatifSommatif[[#This Row],[Groupe]]="Transversales"),F21,"")</f>
        <v/>
      </c>
      <c r="AA50" s="169" t="str">
        <f>IF(AND($B$81=TRUE,tblBilanFormatifSommatif[[#This Row],[Groupe]]="Fondatrices"),G21,"")</f>
        <v/>
      </c>
      <c r="AB50" s="169">
        <f>IF(AND($B$81=TRUE,tblBilanFormatifSommatif[[#This Row],[Groupe]]="Champ 1"),G21,"")</f>
        <v>0</v>
      </c>
      <c r="AC50" s="169" t="str">
        <f>IF(AND($B$81=TRUE,tblBilanFormatifSommatif[[#This Row],[Groupe]]="Champ 2"),G21,"")</f>
        <v/>
      </c>
      <c r="AD50" s="169" t="str">
        <f>IF(AND($B$81=TRUE,tblBilanFormatifSommatif[[#This Row],[Groupe]]="Champ 3"),G21,"")</f>
        <v/>
      </c>
      <c r="AE50" s="169" t="str">
        <f>IF(AND($B$81=TRUE,tblBilanFormatifSommatif[[#This Row],[Groupe]]="Transversales"),G21,"")</f>
        <v/>
      </c>
    </row>
    <row r="51" spans="1:31" ht="15" customHeight="1" x14ac:dyDescent="0.25">
      <c r="I51" t="s">
        <v>157</v>
      </c>
      <c r="J51" t="s">
        <v>158</v>
      </c>
      <c r="K51" t="s">
        <v>159</v>
      </c>
      <c r="L51" s="169" t="e">
        <f>IF(AND($B$78=TRUE,tblBilanFormatifSommatif[[#This Row],[Groupe]]="Fondatrices"),D22,NA())</f>
        <v>#N/A</v>
      </c>
      <c r="M51" s="169" t="e">
        <f>IF(AND($B$78=TRUE,tblBilanFormatifSommatif[[#This Row],[Groupe]]="Champ 1"),D22,NA())</f>
        <v>#N/A</v>
      </c>
      <c r="N51" s="169">
        <f>IF(AND($B$78=TRUE,tblBilanFormatifSommatif[[#This Row],[Groupe]]="Champ 2"),D22,NA())</f>
        <v>0</v>
      </c>
      <c r="O51" s="169" t="e">
        <f>IF(AND($B$78=TRUE,tblBilanFormatifSommatif[[#This Row],[Groupe]]="Champ 3"),D22,NA())</f>
        <v>#N/A</v>
      </c>
      <c r="P51" s="169" t="e">
        <f>IF(AND($B$78=TRUE,tblBilanFormatifSommatif[[#This Row],[Groupe]]="Transversales"),D22,NA())</f>
        <v>#N/A</v>
      </c>
      <c r="Q51" s="169" t="e">
        <f>IF(AND($B$79=TRUE,tblBilanFormatifSommatif[[#This Row],[Groupe]]="Fondatrices"),E22,NA())</f>
        <v>#N/A</v>
      </c>
      <c r="R51" s="169" t="e">
        <f>IF(AND($B$79=TRUE,tblBilanFormatifSommatif[[#This Row],[Groupe]]="Champ 1"),E22,NA())</f>
        <v>#N/A</v>
      </c>
      <c r="S51" s="169">
        <f>IF(AND($B$79=TRUE,tblBilanFormatifSommatif[[#This Row],[Groupe]]="Champ 2"),E22,NA())</f>
        <v>0</v>
      </c>
      <c r="T51" s="169" t="e">
        <f>IF(AND($B$79=TRUE,tblBilanFormatifSommatif[[#This Row],[Groupe]]="Champ 3"),E22,NA())</f>
        <v>#N/A</v>
      </c>
      <c r="U51" s="169" t="e">
        <f>IF(AND($B$79=TRUE,tblBilanFormatifSommatif[[#This Row],[Groupe]]="Transversales"),E22,NA())</f>
        <v>#N/A</v>
      </c>
      <c r="V51" s="169" t="str">
        <f>IF(AND($B$80=TRUE,tblBilanFormatifSommatif[[#This Row],[Groupe]]="Fondatrices"),F22,"")</f>
        <v/>
      </c>
      <c r="W51" s="169" t="str">
        <f>IF(AND($B$80=TRUE,tblBilanFormatifSommatif[[#This Row],[Groupe]]="Champ 1"),F22,"")</f>
        <v/>
      </c>
      <c r="X51" s="169">
        <f>IF(AND($B$80=TRUE,tblBilanFormatifSommatif[[#This Row],[Groupe]]="Champ 2"),F22,"")</f>
        <v>0</v>
      </c>
      <c r="Y51" s="169" t="str">
        <f>IF(AND($B$80=TRUE,tblBilanFormatifSommatif[[#This Row],[Groupe]]="Champ 3"),F22,"")</f>
        <v/>
      </c>
      <c r="Z51" s="169" t="str">
        <f>IF(AND($B$80=TRUE,tblBilanFormatifSommatif[[#This Row],[Groupe]]="Transversales"),F22,"")</f>
        <v/>
      </c>
      <c r="AA51" s="169" t="str">
        <f>IF(AND($B$81=TRUE,tblBilanFormatifSommatif[[#This Row],[Groupe]]="Fondatrices"),G22,"")</f>
        <v/>
      </c>
      <c r="AB51" s="169" t="str">
        <f>IF(AND($B$81=TRUE,tblBilanFormatifSommatif[[#This Row],[Groupe]]="Champ 1"),G22,"")</f>
        <v/>
      </c>
      <c r="AC51" s="169">
        <f>IF(AND($B$81=TRUE,tblBilanFormatifSommatif[[#This Row],[Groupe]]="Champ 2"),G22,"")</f>
        <v>0</v>
      </c>
      <c r="AD51" s="169" t="str">
        <f>IF(AND($B$81=TRUE,tblBilanFormatifSommatif[[#This Row],[Groupe]]="Champ 3"),G22,"")</f>
        <v/>
      </c>
      <c r="AE51" s="169" t="str">
        <f>IF(AND($B$81=TRUE,tblBilanFormatifSommatif[[#This Row],[Groupe]]="Transversales"),G22,"")</f>
        <v/>
      </c>
    </row>
    <row r="52" spans="1:31" ht="15" customHeight="1" x14ac:dyDescent="0.25">
      <c r="I52" t="s">
        <v>157</v>
      </c>
      <c r="J52" t="s">
        <v>77</v>
      </c>
      <c r="K52" t="s">
        <v>160</v>
      </c>
      <c r="L52" s="169" t="e">
        <f>IF(AND($B$78=TRUE,tblBilanFormatifSommatif[[#This Row],[Groupe]]="Fondatrices"),D23,NA())</f>
        <v>#N/A</v>
      </c>
      <c r="M52" s="169" t="e">
        <f>IF(AND($B$78=TRUE,tblBilanFormatifSommatif[[#This Row],[Groupe]]="Champ 1"),D23,NA())</f>
        <v>#N/A</v>
      </c>
      <c r="N52" s="169">
        <f>IF(AND($B$78=TRUE,tblBilanFormatifSommatif[[#This Row],[Groupe]]="Champ 2"),D23,NA())</f>
        <v>0</v>
      </c>
      <c r="O52" s="169" t="e">
        <f>IF(AND($B$78=TRUE,tblBilanFormatifSommatif[[#This Row],[Groupe]]="Champ 3"),D23,NA())</f>
        <v>#N/A</v>
      </c>
      <c r="P52" s="169" t="e">
        <f>IF(AND($B$78=TRUE,tblBilanFormatifSommatif[[#This Row],[Groupe]]="Transversales"),D23,NA())</f>
        <v>#N/A</v>
      </c>
      <c r="Q52" s="169" t="e">
        <f>IF(AND($B$79=TRUE,tblBilanFormatifSommatif[[#This Row],[Groupe]]="Fondatrices"),E23,NA())</f>
        <v>#N/A</v>
      </c>
      <c r="R52" s="169" t="e">
        <f>IF(AND($B$79=TRUE,tblBilanFormatifSommatif[[#This Row],[Groupe]]="Champ 1"),E23,NA())</f>
        <v>#N/A</v>
      </c>
      <c r="S52" s="169">
        <f>IF(AND($B$79=TRUE,tblBilanFormatifSommatif[[#This Row],[Groupe]]="Champ 2"),E23,NA())</f>
        <v>0</v>
      </c>
      <c r="T52" s="169" t="e">
        <f>IF(AND($B$79=TRUE,tblBilanFormatifSommatif[[#This Row],[Groupe]]="Champ 3"),E23,NA())</f>
        <v>#N/A</v>
      </c>
      <c r="U52" s="169" t="e">
        <f>IF(AND($B$79=TRUE,tblBilanFormatifSommatif[[#This Row],[Groupe]]="Transversales"),E23,NA())</f>
        <v>#N/A</v>
      </c>
      <c r="V52" s="169" t="str">
        <f>IF(AND($B$80=TRUE,tblBilanFormatifSommatif[[#This Row],[Groupe]]="Fondatrices"),F23,"")</f>
        <v/>
      </c>
      <c r="W52" s="169" t="str">
        <f>IF(AND($B$80=TRUE,tblBilanFormatifSommatif[[#This Row],[Groupe]]="Champ 1"),F23,"")</f>
        <v/>
      </c>
      <c r="X52" s="169">
        <f>IF(AND($B$80=TRUE,tblBilanFormatifSommatif[[#This Row],[Groupe]]="Champ 2"),F23,"")</f>
        <v>0</v>
      </c>
      <c r="Y52" s="169" t="str">
        <f>IF(AND($B$80=TRUE,tblBilanFormatifSommatif[[#This Row],[Groupe]]="Champ 3"),F23,"")</f>
        <v/>
      </c>
      <c r="Z52" s="169" t="str">
        <f>IF(AND($B$80=TRUE,tblBilanFormatifSommatif[[#This Row],[Groupe]]="Transversales"),F23,"")</f>
        <v/>
      </c>
      <c r="AA52" s="169" t="str">
        <f>IF(AND($B$81=TRUE,tblBilanFormatifSommatif[[#This Row],[Groupe]]="Fondatrices"),G23,"")</f>
        <v/>
      </c>
      <c r="AB52" s="169" t="str">
        <f>IF(AND($B$81=TRUE,tblBilanFormatifSommatif[[#This Row],[Groupe]]="Champ 1"),G23,"")</f>
        <v/>
      </c>
      <c r="AC52" s="169">
        <f>IF(AND($B$81=TRUE,tblBilanFormatifSommatif[[#This Row],[Groupe]]="Champ 2"),G23,"")</f>
        <v>0</v>
      </c>
      <c r="AD52" s="169" t="str">
        <f>IF(AND($B$81=TRUE,tblBilanFormatifSommatif[[#This Row],[Groupe]]="Champ 3"),G23,"")</f>
        <v/>
      </c>
      <c r="AE52" s="169" t="str">
        <f>IF(AND($B$81=TRUE,tblBilanFormatifSommatif[[#This Row],[Groupe]]="Transversales"),G23,"")</f>
        <v/>
      </c>
    </row>
    <row r="53" spans="1:31" ht="15" customHeight="1" x14ac:dyDescent="0.25">
      <c r="I53" t="s">
        <v>161</v>
      </c>
      <c r="J53" t="s">
        <v>78</v>
      </c>
      <c r="K53" t="s">
        <v>162</v>
      </c>
      <c r="L53" s="169" t="e">
        <f>IF(AND($B$78=TRUE,tblBilanFormatifSommatif[[#This Row],[Groupe]]="Fondatrices"),D24,NA())</f>
        <v>#N/A</v>
      </c>
      <c r="M53" s="169" t="e">
        <f>IF(AND($B$78=TRUE,tblBilanFormatifSommatif[[#This Row],[Groupe]]="Champ 1"),D24,NA())</f>
        <v>#N/A</v>
      </c>
      <c r="N53" s="169" t="e">
        <f>IF(AND($B$78=TRUE,tblBilanFormatifSommatif[[#This Row],[Groupe]]="Champ 2"),D24,NA())</f>
        <v>#N/A</v>
      </c>
      <c r="O53" s="169">
        <f>IF(AND($B$78=TRUE,tblBilanFormatifSommatif[[#This Row],[Groupe]]="Champ 3"),D24,NA())</f>
        <v>0</v>
      </c>
      <c r="P53" s="169" t="e">
        <f>IF(AND($B$78=TRUE,tblBilanFormatifSommatif[[#This Row],[Groupe]]="Transversales"),D24,NA())</f>
        <v>#N/A</v>
      </c>
      <c r="Q53" s="169" t="e">
        <f>IF(AND($B$79=TRUE,tblBilanFormatifSommatif[[#This Row],[Groupe]]="Fondatrices"),E24,NA())</f>
        <v>#N/A</v>
      </c>
      <c r="R53" s="169" t="e">
        <f>IF(AND($B$79=TRUE,tblBilanFormatifSommatif[[#This Row],[Groupe]]="Champ 1"),E24,NA())</f>
        <v>#N/A</v>
      </c>
      <c r="S53" s="169" t="e">
        <f>IF(AND($B$79=TRUE,tblBilanFormatifSommatif[[#This Row],[Groupe]]="Champ 2"),E24,NA())</f>
        <v>#N/A</v>
      </c>
      <c r="T53" s="169">
        <f>IF(AND($B$79=TRUE,tblBilanFormatifSommatif[[#This Row],[Groupe]]="Champ 3"),E24,NA())</f>
        <v>0</v>
      </c>
      <c r="U53" s="169" t="e">
        <f>IF(AND($B$79=TRUE,tblBilanFormatifSommatif[[#This Row],[Groupe]]="Transversales"),E24,NA())</f>
        <v>#N/A</v>
      </c>
      <c r="V53" s="169" t="str">
        <f>IF(AND($B$80=TRUE,tblBilanFormatifSommatif[[#This Row],[Groupe]]="Fondatrices"),F24,"")</f>
        <v/>
      </c>
      <c r="W53" s="169" t="str">
        <f>IF(AND($B$80=TRUE,tblBilanFormatifSommatif[[#This Row],[Groupe]]="Champ 1"),F24,"")</f>
        <v/>
      </c>
      <c r="X53" s="169" t="str">
        <f>IF(AND($B$80=TRUE,tblBilanFormatifSommatif[[#This Row],[Groupe]]="Champ 2"),F24,"")</f>
        <v/>
      </c>
      <c r="Y53" s="169">
        <f>IF(AND($B$80=TRUE,tblBilanFormatifSommatif[[#This Row],[Groupe]]="Champ 3"),F24,"")</f>
        <v>0</v>
      </c>
      <c r="Z53" s="169" t="str">
        <f>IF(AND($B$80=TRUE,tblBilanFormatifSommatif[[#This Row],[Groupe]]="Transversales"),F24,"")</f>
        <v/>
      </c>
      <c r="AA53" s="169" t="str">
        <f>IF(AND($B$81=TRUE,tblBilanFormatifSommatif[[#This Row],[Groupe]]="Fondatrices"),G24,"")</f>
        <v/>
      </c>
      <c r="AB53" s="169" t="str">
        <f>IF(AND($B$81=TRUE,tblBilanFormatifSommatif[[#This Row],[Groupe]]="Champ 1"),G24,"")</f>
        <v/>
      </c>
      <c r="AC53" s="169" t="str">
        <f>IF(AND($B$81=TRUE,tblBilanFormatifSommatif[[#This Row],[Groupe]]="Champ 2"),G24,"")</f>
        <v/>
      </c>
      <c r="AD53" s="169">
        <f>IF(AND($B$81=TRUE,tblBilanFormatifSommatif[[#This Row],[Groupe]]="Champ 3"),G24,"")</f>
        <v>0</v>
      </c>
      <c r="AE53" s="169" t="str">
        <f>IF(AND($B$81=TRUE,tblBilanFormatifSommatif[[#This Row],[Groupe]]="Transversales"),G24,"")</f>
        <v/>
      </c>
    </row>
    <row r="54" spans="1:31" ht="15" customHeight="1" x14ac:dyDescent="0.25">
      <c r="I54" t="s">
        <v>163</v>
      </c>
      <c r="J54" t="s">
        <v>79</v>
      </c>
      <c r="K54" t="s">
        <v>164</v>
      </c>
      <c r="L54" s="169" t="e">
        <f>IF(AND($B$78=TRUE,tblBilanFormatifSommatif[[#This Row],[Groupe]]="Fondatrices"),D25,NA())</f>
        <v>#N/A</v>
      </c>
      <c r="M54" s="169" t="e">
        <f>IF(AND($B$78=TRUE,tblBilanFormatifSommatif[[#This Row],[Groupe]]="Champ 1"),D25,NA())</f>
        <v>#N/A</v>
      </c>
      <c r="N54" s="169" t="e">
        <f>IF(AND($B$78=TRUE,tblBilanFormatifSommatif[[#This Row],[Groupe]]="Champ 2"),D25,NA())</f>
        <v>#N/A</v>
      </c>
      <c r="O54" s="169" t="e">
        <f>IF(AND($B$78=TRUE,tblBilanFormatifSommatif[[#This Row],[Groupe]]="Champ 3"),D25,NA())</f>
        <v>#N/A</v>
      </c>
      <c r="P54" s="169">
        <f>IF(AND($B$78=TRUE,tblBilanFormatifSommatif[[#This Row],[Groupe]]="Transversales"),D25,NA())</f>
        <v>0</v>
      </c>
      <c r="Q54" s="169" t="e">
        <f>IF(AND($B$79=TRUE,tblBilanFormatifSommatif[[#This Row],[Groupe]]="Fondatrices"),E25,NA())</f>
        <v>#N/A</v>
      </c>
      <c r="R54" s="169" t="e">
        <f>IF(AND($B$79=TRUE,tblBilanFormatifSommatif[[#This Row],[Groupe]]="Champ 1"),E25,NA())</f>
        <v>#N/A</v>
      </c>
      <c r="S54" s="169" t="e">
        <f>IF(AND($B$79=TRUE,tblBilanFormatifSommatif[[#This Row],[Groupe]]="Champ 2"),E25,NA())</f>
        <v>#N/A</v>
      </c>
      <c r="T54" s="169" t="e">
        <f>IF(AND($B$79=TRUE,tblBilanFormatifSommatif[[#This Row],[Groupe]]="Champ 3"),E25,NA())</f>
        <v>#N/A</v>
      </c>
      <c r="U54" s="169">
        <f>IF(AND($B$79=TRUE,tblBilanFormatifSommatif[[#This Row],[Groupe]]="Transversales"),E25,NA())</f>
        <v>0</v>
      </c>
      <c r="V54" s="169" t="str">
        <f>IF(AND($B$80=TRUE,tblBilanFormatifSommatif[[#This Row],[Groupe]]="Fondatrices"),F25,"")</f>
        <v/>
      </c>
      <c r="W54" s="169" t="str">
        <f>IF(AND($B$80=TRUE,tblBilanFormatifSommatif[[#This Row],[Groupe]]="Champ 1"),F25,"")</f>
        <v/>
      </c>
      <c r="X54" s="169" t="str">
        <f>IF(AND($B$80=TRUE,tblBilanFormatifSommatif[[#This Row],[Groupe]]="Champ 2"),F25,"")</f>
        <v/>
      </c>
      <c r="Y54" s="169" t="str">
        <f>IF(AND($B$80=TRUE,tblBilanFormatifSommatif[[#This Row],[Groupe]]="Champ 3"),F25,"")</f>
        <v/>
      </c>
      <c r="Z54" s="169">
        <f>IF(AND($B$80=TRUE,tblBilanFormatifSommatif[[#This Row],[Groupe]]="Transversales"),F25,"")</f>
        <v>0</v>
      </c>
      <c r="AA54" s="169" t="str">
        <f>IF(AND($B$81=TRUE,tblBilanFormatifSommatif[[#This Row],[Groupe]]="Fondatrices"),G25,"")</f>
        <v/>
      </c>
      <c r="AB54" s="169" t="str">
        <f>IF(AND($B$81=TRUE,tblBilanFormatifSommatif[[#This Row],[Groupe]]="Champ 1"),G25,"")</f>
        <v/>
      </c>
      <c r="AC54" s="169" t="str">
        <f>IF(AND($B$81=TRUE,tblBilanFormatifSommatif[[#This Row],[Groupe]]="Champ 2"),G25,"")</f>
        <v/>
      </c>
      <c r="AD54" s="169" t="str">
        <f>IF(AND($B$81=TRUE,tblBilanFormatifSommatif[[#This Row],[Groupe]]="Champ 3"),G25,"")</f>
        <v/>
      </c>
      <c r="AE54" s="169">
        <f>IF(AND($B$81=TRUE,tblBilanFormatifSommatif[[#This Row],[Groupe]]="Transversales"),G25,"")</f>
        <v>0</v>
      </c>
    </row>
    <row r="55" spans="1:31" ht="15" customHeight="1" x14ac:dyDescent="0.25">
      <c r="I55" t="s">
        <v>163</v>
      </c>
      <c r="J55" t="s">
        <v>83</v>
      </c>
      <c r="K55" t="s">
        <v>165</v>
      </c>
      <c r="L55" s="169" t="e">
        <f>IF(AND($B$78=TRUE,tblBilanFormatifSommatif[[#This Row],[Groupe]]="Fondatrices"),D26,NA())</f>
        <v>#N/A</v>
      </c>
      <c r="M55" s="169" t="e">
        <f>IF(AND($B$78=TRUE,tblBilanFormatifSommatif[[#This Row],[Groupe]]="Champ 1"),D26,NA())</f>
        <v>#N/A</v>
      </c>
      <c r="N55" s="169" t="e">
        <f>IF(AND($B$78=TRUE,tblBilanFormatifSommatif[[#This Row],[Groupe]]="Champ 2"),D26,NA())</f>
        <v>#N/A</v>
      </c>
      <c r="O55" s="169" t="e">
        <f>IF(AND($B$78=TRUE,tblBilanFormatifSommatif[[#This Row],[Groupe]]="Champ 3"),D26,NA())</f>
        <v>#N/A</v>
      </c>
      <c r="P55" s="169">
        <f>IF(AND($B$78=TRUE,tblBilanFormatifSommatif[[#This Row],[Groupe]]="Transversales"),D26,NA())</f>
        <v>0</v>
      </c>
      <c r="Q55" s="169" t="e">
        <f>IF(AND($B$79=TRUE,tblBilanFormatifSommatif[[#This Row],[Groupe]]="Fondatrices"),E26,NA())</f>
        <v>#N/A</v>
      </c>
      <c r="R55" s="169" t="e">
        <f>IF(AND($B$79=TRUE,tblBilanFormatifSommatif[[#This Row],[Groupe]]="Champ 1"),E26,NA())</f>
        <v>#N/A</v>
      </c>
      <c r="S55" s="169" t="e">
        <f>IF(AND($B$79=TRUE,tblBilanFormatifSommatif[[#This Row],[Groupe]]="Champ 2"),E26,NA())</f>
        <v>#N/A</v>
      </c>
      <c r="T55" s="169" t="e">
        <f>IF(AND($B$79=TRUE,tblBilanFormatifSommatif[[#This Row],[Groupe]]="Champ 3"),E26,NA())</f>
        <v>#N/A</v>
      </c>
      <c r="U55" s="169">
        <f>IF(AND($B$79=TRUE,tblBilanFormatifSommatif[[#This Row],[Groupe]]="Transversales"),E26,NA())</f>
        <v>0</v>
      </c>
      <c r="V55" s="169" t="str">
        <f>IF(AND($B$80=TRUE,tblBilanFormatifSommatif[[#This Row],[Groupe]]="Fondatrices"),F26,"")</f>
        <v/>
      </c>
      <c r="W55" s="169" t="str">
        <f>IF(AND($B$80=TRUE,tblBilanFormatifSommatif[[#This Row],[Groupe]]="Champ 1"),F26,"")</f>
        <v/>
      </c>
      <c r="X55" s="169" t="str">
        <f>IF(AND($B$80=TRUE,tblBilanFormatifSommatif[[#This Row],[Groupe]]="Champ 2"),F26,"")</f>
        <v/>
      </c>
      <c r="Y55" s="169" t="str">
        <f>IF(AND($B$80=TRUE,tblBilanFormatifSommatif[[#This Row],[Groupe]]="Champ 3"),F26,"")</f>
        <v/>
      </c>
      <c r="Z55" s="169">
        <f>IF(AND($B$80=TRUE,tblBilanFormatifSommatif[[#This Row],[Groupe]]="Transversales"),F26,"")</f>
        <v>0</v>
      </c>
      <c r="AA55" s="169" t="str">
        <f>IF(AND($B$81=TRUE,tblBilanFormatifSommatif[[#This Row],[Groupe]]="Fondatrices"),G26,"")</f>
        <v/>
      </c>
      <c r="AB55" s="169" t="str">
        <f>IF(AND($B$81=TRUE,tblBilanFormatifSommatif[[#This Row],[Groupe]]="Champ 1"),G26,"")</f>
        <v/>
      </c>
      <c r="AC55" s="169" t="str">
        <f>IF(AND($B$81=TRUE,tblBilanFormatifSommatif[[#This Row],[Groupe]]="Champ 2"),G26,"")</f>
        <v/>
      </c>
      <c r="AD55" s="169" t="str">
        <f>IF(AND($B$81=TRUE,tblBilanFormatifSommatif[[#This Row],[Groupe]]="Champ 3"),G26,"")</f>
        <v/>
      </c>
      <c r="AE55" s="169">
        <f>IF(AND($B$81=TRUE,tblBilanFormatifSommatif[[#This Row],[Groupe]]="Transversales"),G26,"")</f>
        <v>0</v>
      </c>
    </row>
    <row r="58" spans="1:31" ht="13.95" customHeight="1" x14ac:dyDescent="0.25">
      <c r="A58" s="429" t="s">
        <v>166</v>
      </c>
      <c r="B58" s="429"/>
      <c r="C58" s="42"/>
    </row>
    <row r="60" spans="1:31" x14ac:dyDescent="0.25">
      <c r="A60" t="s">
        <v>167</v>
      </c>
      <c r="B60" t="s">
        <v>102</v>
      </c>
    </row>
    <row r="61" spans="1:31" x14ac:dyDescent="0.25">
      <c r="A61" t="s">
        <v>140</v>
      </c>
      <c r="B61" t="s">
        <v>139</v>
      </c>
    </row>
    <row r="62" spans="1:31" x14ac:dyDescent="0.25">
      <c r="A62" t="s">
        <v>142</v>
      </c>
      <c r="B62" t="s">
        <v>139</v>
      </c>
    </row>
    <row r="63" spans="1:31" ht="27.6" customHeight="1" x14ac:dyDescent="0.25">
      <c r="A63" t="s">
        <v>145</v>
      </c>
      <c r="B63" t="s">
        <v>144</v>
      </c>
    </row>
    <row r="64" spans="1:31" x14ac:dyDescent="0.25">
      <c r="A64" t="s">
        <v>147</v>
      </c>
      <c r="B64" t="s">
        <v>144</v>
      </c>
    </row>
    <row r="65" spans="1:3" x14ac:dyDescent="0.25">
      <c r="A65" t="s">
        <v>149</v>
      </c>
      <c r="B65" t="s">
        <v>144</v>
      </c>
    </row>
    <row r="66" spans="1:3" ht="16.95" customHeight="1" x14ac:dyDescent="0.25">
      <c r="A66" t="s">
        <v>151</v>
      </c>
      <c r="B66" t="s">
        <v>144</v>
      </c>
    </row>
    <row r="67" spans="1:3" ht="16.95" customHeight="1" x14ac:dyDescent="0.25">
      <c r="A67" t="s">
        <v>153</v>
      </c>
      <c r="B67" t="s">
        <v>144</v>
      </c>
    </row>
    <row r="68" spans="1:3" ht="16.95" customHeight="1" x14ac:dyDescent="0.25">
      <c r="A68" t="s">
        <v>155</v>
      </c>
      <c r="B68" t="s">
        <v>144</v>
      </c>
    </row>
    <row r="69" spans="1:3" ht="16.95" customHeight="1" x14ac:dyDescent="0.25">
      <c r="A69" t="s">
        <v>158</v>
      </c>
      <c r="B69" t="s">
        <v>157</v>
      </c>
    </row>
    <row r="70" spans="1:3" x14ac:dyDescent="0.25">
      <c r="A70" t="s">
        <v>77</v>
      </c>
      <c r="B70" t="s">
        <v>157</v>
      </c>
    </row>
    <row r="71" spans="1:3" x14ac:dyDescent="0.25">
      <c r="A71" t="s">
        <v>78</v>
      </c>
      <c r="B71" t="s">
        <v>161</v>
      </c>
    </row>
    <row r="72" spans="1:3" ht="16.95" customHeight="1" x14ac:dyDescent="0.25">
      <c r="A72" t="s">
        <v>79</v>
      </c>
      <c r="B72" t="s">
        <v>163</v>
      </c>
    </row>
    <row r="73" spans="1:3" ht="16.95" customHeight="1" x14ac:dyDescent="0.25">
      <c r="A73" t="s">
        <v>83</v>
      </c>
      <c r="B73" t="s">
        <v>163</v>
      </c>
    </row>
    <row r="74" spans="1:3" ht="16.95" customHeight="1" x14ac:dyDescent="0.25"/>
    <row r="75" spans="1:3" ht="16.95" customHeight="1" x14ac:dyDescent="0.25">
      <c r="A75" s="430" t="s">
        <v>168</v>
      </c>
      <c r="B75" s="430"/>
      <c r="C75" s="430"/>
    </row>
    <row r="76" spans="1:3" x14ac:dyDescent="0.25">
      <c r="B76" s="181" t="s">
        <v>169</v>
      </c>
    </row>
    <row r="77" spans="1:3" x14ac:dyDescent="0.25">
      <c r="A77" t="s">
        <v>170</v>
      </c>
      <c r="B77" t="s">
        <v>171</v>
      </c>
    </row>
    <row r="78" spans="1:3" x14ac:dyDescent="0.25">
      <c r="A78" t="s">
        <v>172</v>
      </c>
      <c r="B78" t="b">
        <v>1</v>
      </c>
    </row>
    <row r="79" spans="1:3" x14ac:dyDescent="0.25">
      <c r="A79" t="s">
        <v>173</v>
      </c>
      <c r="B79" t="b">
        <v>1</v>
      </c>
    </row>
    <row r="80" spans="1:3" x14ac:dyDescent="0.25">
      <c r="A80" t="s">
        <v>174</v>
      </c>
      <c r="B80" t="b">
        <v>1</v>
      </c>
    </row>
    <row r="81" spans="1:13" x14ac:dyDescent="0.25">
      <c r="A81" t="s">
        <v>175</v>
      </c>
      <c r="B81" t="b">
        <v>1</v>
      </c>
    </row>
    <row r="85" spans="1:13" x14ac:dyDescent="0.25">
      <c r="B85" t="s">
        <v>96</v>
      </c>
      <c r="C85" t="s">
        <v>176</v>
      </c>
      <c r="D85" t="s">
        <v>177</v>
      </c>
      <c r="E85" t="s">
        <v>178</v>
      </c>
      <c r="F85" t="s">
        <v>179</v>
      </c>
      <c r="G85" t="s">
        <v>180</v>
      </c>
    </row>
    <row r="86" spans="1:13" ht="19.2" customHeight="1" x14ac:dyDescent="0.25">
      <c r="B86" s="249">
        <v>1</v>
      </c>
      <c r="C86" s="249">
        <f t="shared" ref="C86:C98" ca="1" si="0">ROWS(INDIRECT("Tableau" &amp; B86 ))</f>
        <v>8</v>
      </c>
      <c r="D86" s="249">
        <f ca="1">COUNTIF(INDIRECT("Tableau" &amp; B86 &amp; "[Résultats For1]"),"&lt;&gt;-")</f>
        <v>0</v>
      </c>
      <c r="E86" s="249">
        <f ca="1">COUNTIF(INDIRECT("Tableau" &amp; B86 &amp; "[Résultats For2]"),"&lt;&gt;-")</f>
        <v>0</v>
      </c>
      <c r="F86" s="249">
        <f ca="1">COUNTIF(INDIRECT("Tableau" &amp; B86 &amp; "[Résultats Som1]"),"&lt;&gt;-")</f>
        <v>0</v>
      </c>
      <c r="G86" s="249">
        <f ca="1">COUNTIF(INDIRECT("Tableau" &amp; B86 &amp; "[Résultats Som2]"),"&lt;&gt;-")</f>
        <v>0</v>
      </c>
      <c r="I86" t="s">
        <v>181</v>
      </c>
      <c r="J86" t="s">
        <v>182</v>
      </c>
      <c r="K86" t="s">
        <v>183</v>
      </c>
      <c r="L86" t="s">
        <v>184</v>
      </c>
      <c r="M86" t="s">
        <v>185</v>
      </c>
    </row>
    <row r="87" spans="1:13" x14ac:dyDescent="0.25">
      <c r="B87" s="249">
        <v>2</v>
      </c>
      <c r="C87" s="249">
        <f t="shared" ca="1" si="0"/>
        <v>8</v>
      </c>
      <c r="D87" s="249">
        <f t="shared" ref="D87:D98" ca="1" si="1">COUNTIF(INDIRECT("Tableau" &amp; B87 &amp; "[Résultats For1]"),"&lt;&gt;-")</f>
        <v>0</v>
      </c>
      <c r="E87" s="249">
        <f t="shared" ref="E87:E98" ca="1" si="2">COUNTIF(INDIRECT("Tableau" &amp; B87 &amp; "[Résultats For2]"),"&lt;&gt;-")</f>
        <v>0</v>
      </c>
      <c r="F87" s="249">
        <f t="shared" ref="F87:F98" ca="1" si="3">COUNTIF(INDIRECT("Tableau" &amp; B87 &amp; "[Résultats Som1]"),"&lt;&gt;-")</f>
        <v>0</v>
      </c>
      <c r="G87" s="249">
        <f t="shared" ref="G87:G98" ca="1" si="4">COUNTIF(INDIRECT("Tableau" &amp; B87 &amp; "[Résultats Som2]"),"&lt;&gt;-")</f>
        <v>0</v>
      </c>
    </row>
    <row r="88" spans="1:13" x14ac:dyDescent="0.25">
      <c r="B88" s="249">
        <v>3</v>
      </c>
      <c r="C88" s="249">
        <f t="shared" ca="1" si="0"/>
        <v>10</v>
      </c>
      <c r="D88" s="249">
        <f t="shared" ca="1" si="1"/>
        <v>0</v>
      </c>
      <c r="E88" s="249">
        <f t="shared" ca="1" si="2"/>
        <v>0</v>
      </c>
      <c r="F88" s="249">
        <f t="shared" ca="1" si="3"/>
        <v>0</v>
      </c>
      <c r="G88" s="249">
        <f t="shared" ca="1" si="4"/>
        <v>0</v>
      </c>
    </row>
    <row r="89" spans="1:13" x14ac:dyDescent="0.25">
      <c r="B89" s="249">
        <v>4</v>
      </c>
      <c r="C89" s="249">
        <f t="shared" ca="1" si="0"/>
        <v>6</v>
      </c>
      <c r="D89" s="249">
        <f t="shared" ca="1" si="1"/>
        <v>0</v>
      </c>
      <c r="E89" s="249">
        <f t="shared" ca="1" si="2"/>
        <v>0</v>
      </c>
      <c r="F89" s="249">
        <f t="shared" ca="1" si="3"/>
        <v>0</v>
      </c>
      <c r="G89" s="249">
        <f t="shared" ca="1" si="4"/>
        <v>0</v>
      </c>
    </row>
    <row r="90" spans="1:13" x14ac:dyDescent="0.25">
      <c r="B90" s="249">
        <v>5</v>
      </c>
      <c r="C90" s="249">
        <f t="shared" ca="1" si="0"/>
        <v>9</v>
      </c>
      <c r="D90" s="249">
        <f t="shared" ca="1" si="1"/>
        <v>0</v>
      </c>
      <c r="E90" s="249">
        <f t="shared" ca="1" si="2"/>
        <v>0</v>
      </c>
      <c r="F90" s="249">
        <f t="shared" ca="1" si="3"/>
        <v>0</v>
      </c>
      <c r="G90" s="249">
        <f t="shared" ca="1" si="4"/>
        <v>0</v>
      </c>
    </row>
    <row r="91" spans="1:13" x14ac:dyDescent="0.25">
      <c r="B91" s="249">
        <v>6</v>
      </c>
      <c r="C91" s="249">
        <f t="shared" ca="1" si="0"/>
        <v>9</v>
      </c>
      <c r="D91" s="249">
        <f t="shared" ca="1" si="1"/>
        <v>0</v>
      </c>
      <c r="E91" s="249">
        <f t="shared" ca="1" si="2"/>
        <v>0</v>
      </c>
      <c r="F91" s="249">
        <f t="shared" ca="1" si="3"/>
        <v>0</v>
      </c>
      <c r="G91" s="249">
        <f t="shared" ca="1" si="4"/>
        <v>0</v>
      </c>
    </row>
    <row r="92" spans="1:13" x14ac:dyDescent="0.25">
      <c r="B92" s="249">
        <v>7</v>
      </c>
      <c r="C92" s="249">
        <f t="shared" ca="1" si="0"/>
        <v>8</v>
      </c>
      <c r="D92" s="249">
        <f t="shared" ca="1" si="1"/>
        <v>0</v>
      </c>
      <c r="E92" s="249">
        <f t="shared" ca="1" si="2"/>
        <v>0</v>
      </c>
      <c r="F92" s="249">
        <f t="shared" ca="1" si="3"/>
        <v>0</v>
      </c>
      <c r="G92" s="249">
        <f t="shared" ca="1" si="4"/>
        <v>0</v>
      </c>
    </row>
    <row r="93" spans="1:13" x14ac:dyDescent="0.25">
      <c r="B93" s="249">
        <v>8</v>
      </c>
      <c r="C93" s="249">
        <f t="shared" ca="1" si="0"/>
        <v>9</v>
      </c>
      <c r="D93" s="249">
        <f t="shared" ca="1" si="1"/>
        <v>0</v>
      </c>
      <c r="E93" s="249">
        <f t="shared" ca="1" si="2"/>
        <v>0</v>
      </c>
      <c r="F93" s="249">
        <f t="shared" ca="1" si="3"/>
        <v>0</v>
      </c>
      <c r="G93" s="249">
        <f t="shared" ca="1" si="4"/>
        <v>0</v>
      </c>
    </row>
    <row r="94" spans="1:13" x14ac:dyDescent="0.25">
      <c r="B94" s="249">
        <v>9</v>
      </c>
      <c r="C94" s="249">
        <f t="shared" ca="1" si="0"/>
        <v>8</v>
      </c>
      <c r="D94" s="249">
        <f t="shared" ca="1" si="1"/>
        <v>0</v>
      </c>
      <c r="E94" s="249">
        <f t="shared" ca="1" si="2"/>
        <v>0</v>
      </c>
      <c r="F94" s="249">
        <f t="shared" ca="1" si="3"/>
        <v>0</v>
      </c>
      <c r="G94" s="249">
        <f t="shared" ca="1" si="4"/>
        <v>0</v>
      </c>
    </row>
    <row r="95" spans="1:13" x14ac:dyDescent="0.25">
      <c r="B95" s="249">
        <v>10</v>
      </c>
      <c r="C95" s="249">
        <f t="shared" ca="1" si="0"/>
        <v>7</v>
      </c>
      <c r="D95" s="249">
        <f t="shared" ca="1" si="1"/>
        <v>0</v>
      </c>
      <c r="E95" s="249">
        <f t="shared" ca="1" si="2"/>
        <v>0</v>
      </c>
      <c r="F95" s="249">
        <f t="shared" ca="1" si="3"/>
        <v>0</v>
      </c>
      <c r="G95" s="249">
        <f t="shared" ca="1" si="4"/>
        <v>0</v>
      </c>
    </row>
    <row r="96" spans="1:13" x14ac:dyDescent="0.25">
      <c r="B96" s="249">
        <v>11</v>
      </c>
      <c r="C96" s="249">
        <f t="shared" ca="1" si="0"/>
        <v>9</v>
      </c>
      <c r="D96" s="249">
        <f t="shared" ca="1" si="1"/>
        <v>0</v>
      </c>
      <c r="E96" s="249">
        <f t="shared" ca="1" si="2"/>
        <v>0</v>
      </c>
      <c r="F96" s="249">
        <f t="shared" ca="1" si="3"/>
        <v>0</v>
      </c>
      <c r="G96" s="249">
        <f t="shared" ca="1" si="4"/>
        <v>0</v>
      </c>
    </row>
    <row r="97" spans="2:7" x14ac:dyDescent="0.25">
      <c r="B97" s="249">
        <v>12</v>
      </c>
      <c r="C97" s="249">
        <f t="shared" ca="1" si="0"/>
        <v>12</v>
      </c>
      <c r="D97" s="249">
        <f t="shared" ca="1" si="1"/>
        <v>0</v>
      </c>
      <c r="E97" s="249">
        <f t="shared" ca="1" si="2"/>
        <v>0</v>
      </c>
      <c r="F97" s="249">
        <f t="shared" ca="1" si="3"/>
        <v>0</v>
      </c>
      <c r="G97" s="249">
        <f t="shared" ca="1" si="4"/>
        <v>0</v>
      </c>
    </row>
    <row r="98" spans="2:7" x14ac:dyDescent="0.25">
      <c r="B98" s="249">
        <v>13</v>
      </c>
      <c r="C98" s="249">
        <f t="shared" ca="1" si="0"/>
        <v>8</v>
      </c>
      <c r="D98" s="249">
        <f t="shared" ca="1" si="1"/>
        <v>0</v>
      </c>
      <c r="E98" s="249">
        <f t="shared" ca="1" si="2"/>
        <v>0</v>
      </c>
      <c r="F98" s="249">
        <f t="shared" ca="1" si="3"/>
        <v>0</v>
      </c>
      <c r="G98" s="249">
        <f t="shared" ca="1" si="4"/>
        <v>0</v>
      </c>
    </row>
  </sheetData>
  <dataConsolidate/>
  <mergeCells count="11">
    <mergeCell ref="C11:G11"/>
    <mergeCell ref="D12:E12"/>
    <mergeCell ref="F12:G12"/>
    <mergeCell ref="AA40:AE40"/>
    <mergeCell ref="V39:AE39"/>
    <mergeCell ref="V40:Z40"/>
    <mergeCell ref="A58:B58"/>
    <mergeCell ref="A75:C75"/>
    <mergeCell ref="L40:P40"/>
    <mergeCell ref="Q40:U40"/>
    <mergeCell ref="L39:U39"/>
  </mergeCells>
  <phoneticPr fontId="48" type="noConversion"/>
  <pageMargins left="0.7" right="0.7" top="0.75" bottom="0.75" header="0.3" footer="0.3"/>
  <pageSetup orientation="portrait" r:id="rId1"/>
  <drawing r:id="rId2"/>
  <tableParts count="6">
    <tablePart r:id="rId3"/>
    <tablePart r:id="rId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1D645-952A-43B7-A712-9A6157881694}">
  <sheetPr codeName="Feuil2">
    <tabColor rgb="FFF7B8B3"/>
  </sheetPr>
  <dimension ref="A1:O77"/>
  <sheetViews>
    <sheetView showGridLines="0" showRowColHeaders="0" zoomScale="65" zoomScaleNormal="65" workbookViewId="0">
      <selection activeCell="B29" sqref="B29"/>
    </sheetView>
  </sheetViews>
  <sheetFormatPr baseColWidth="10" defaultColWidth="11" defaultRowHeight="13.8" x14ac:dyDescent="0.25"/>
  <cols>
    <col min="1" max="1" width="26.69921875" customWidth="1"/>
    <col min="2" max="2" width="27.69921875" customWidth="1"/>
    <col min="3" max="3" width="12.69921875" hidden="1" customWidth="1"/>
    <col min="4" max="4" width="27.69921875" customWidth="1"/>
    <col min="5" max="5" width="17.19921875" hidden="1" customWidth="1"/>
    <col min="6" max="7" width="27.69921875" customWidth="1"/>
    <col min="8" max="8" width="32.69921875" customWidth="1"/>
    <col min="9" max="11" width="30.69921875" customWidth="1"/>
    <col min="12" max="12" width="15.69921875" customWidth="1"/>
    <col min="13" max="14" width="40.69921875" customWidth="1"/>
  </cols>
  <sheetData>
    <row r="1" spans="1:8" ht="21" customHeight="1" x14ac:dyDescent="0.25">
      <c r="A1" s="9"/>
    </row>
    <row r="2" spans="1:8" ht="22.2" customHeight="1" x14ac:dyDescent="0.25">
      <c r="A2" s="9"/>
      <c r="B2" s="330" t="s">
        <v>0</v>
      </c>
      <c r="C2" s="331"/>
      <c r="D2" s="331"/>
      <c r="E2" s="331"/>
      <c r="F2" s="331"/>
    </row>
    <row r="3" spans="1:8" ht="21" customHeight="1" x14ac:dyDescent="0.25">
      <c r="A3" s="9"/>
    </row>
    <row r="13" spans="1:8" ht="13.95" customHeight="1" x14ac:dyDescent="0.25"/>
    <row r="14" spans="1:8" ht="22.95" customHeight="1" x14ac:dyDescent="0.4">
      <c r="A14" s="361" t="s">
        <v>193</v>
      </c>
      <c r="B14" s="314"/>
      <c r="C14" s="314"/>
      <c r="D14" s="314"/>
    </row>
    <row r="15" spans="1:8" ht="14.4" customHeight="1" thickBot="1" x14ac:dyDescent="0.3"/>
    <row r="16" spans="1:8" ht="31.95" customHeight="1" x14ac:dyDescent="0.3">
      <c r="A16" s="39" t="s">
        <v>6</v>
      </c>
      <c r="B16" s="39" t="s">
        <v>47</v>
      </c>
      <c r="C16" s="87"/>
      <c r="D16" s="39" t="s">
        <v>7</v>
      </c>
      <c r="F16" s="39" t="s">
        <v>8</v>
      </c>
      <c r="G16" s="39" t="s">
        <v>9</v>
      </c>
      <c r="H16" s="39" t="s">
        <v>10</v>
      </c>
    </row>
    <row r="17" spans="1:13" ht="31.95" customHeight="1" thickBot="1" x14ac:dyDescent="0.3">
      <c r="A17" s="47" t="s">
        <v>195</v>
      </c>
      <c r="B17" s="277" t="s">
        <v>11</v>
      </c>
      <c r="C17" s="278"/>
      <c r="D17" s="277" t="s">
        <v>12</v>
      </c>
      <c r="E17" s="276"/>
      <c r="F17" s="277" t="s">
        <v>13</v>
      </c>
      <c r="G17" s="277" t="s">
        <v>14</v>
      </c>
      <c r="H17" s="277" t="s">
        <v>15</v>
      </c>
    </row>
    <row r="18" spans="1:13" ht="31.95" customHeight="1" thickBot="1" x14ac:dyDescent="0.3">
      <c r="A18" s="47" t="s">
        <v>16</v>
      </c>
      <c r="B18" s="284" t="s">
        <v>200</v>
      </c>
      <c r="C18" s="279"/>
      <c r="D18" s="284" t="s">
        <v>201</v>
      </c>
      <c r="E18" s="276"/>
      <c r="F18" s="280" t="s">
        <v>17</v>
      </c>
      <c r="G18" s="280" t="s">
        <v>18</v>
      </c>
      <c r="H18" s="280" t="s">
        <v>19</v>
      </c>
    </row>
    <row r="19" spans="1:13" ht="31.95" customHeight="1" thickBot="1" x14ac:dyDescent="0.3">
      <c r="A19" s="88" t="s">
        <v>20</v>
      </c>
      <c r="B19" s="281" t="s">
        <v>21</v>
      </c>
      <c r="C19" s="282"/>
      <c r="D19" s="281" t="s">
        <v>187</v>
      </c>
      <c r="E19" s="276"/>
      <c r="F19" s="281" t="s">
        <v>188</v>
      </c>
      <c r="G19" s="281" t="s">
        <v>194</v>
      </c>
      <c r="H19" s="281" t="s">
        <v>22</v>
      </c>
    </row>
    <row r="20" spans="1:13" ht="13.95" customHeight="1" x14ac:dyDescent="0.25"/>
    <row r="21" spans="1:13" x14ac:dyDescent="0.25">
      <c r="A21" s="24"/>
      <c r="B21" s="24"/>
      <c r="C21" s="24"/>
      <c r="D21" s="24"/>
      <c r="E21" s="24"/>
      <c r="F21" s="24"/>
      <c r="G21" s="24"/>
      <c r="H21" s="24"/>
      <c r="I21" s="24"/>
      <c r="J21" s="24"/>
    </row>
    <row r="23" spans="1:13" ht="13.95" customHeight="1" x14ac:dyDescent="0.25"/>
    <row r="24" spans="1:13" ht="22.95" customHeight="1" x14ac:dyDescent="0.4">
      <c r="A24" s="368" t="s">
        <v>206</v>
      </c>
      <c r="B24" s="368"/>
      <c r="C24" s="368"/>
      <c r="D24" s="368"/>
      <c r="E24" s="368"/>
      <c r="F24" s="368"/>
      <c r="H24" s="2"/>
      <c r="K24" s="1"/>
      <c r="L24" s="1"/>
      <c r="M24" s="1"/>
    </row>
    <row r="25" spans="1:13" ht="19.2" customHeight="1" x14ac:dyDescent="0.3">
      <c r="A25" s="367" t="s">
        <v>48</v>
      </c>
      <c r="B25" s="367"/>
      <c r="C25" s="367"/>
      <c r="D25" s="367"/>
      <c r="E25" s="367"/>
      <c r="K25" s="1"/>
      <c r="L25" s="1"/>
      <c r="M25" s="1"/>
    </row>
    <row r="26" spans="1:13" ht="15.6" thickBot="1" x14ac:dyDescent="0.3">
      <c r="F26" s="366"/>
      <c r="G26" s="366"/>
      <c r="H26" s="366"/>
      <c r="K26" s="1"/>
      <c r="L26" s="1"/>
      <c r="M26" s="1"/>
    </row>
    <row r="27" spans="1:13" ht="22.2" customHeight="1" thickBot="1" x14ac:dyDescent="0.45">
      <c r="A27" s="359" t="s">
        <v>49</v>
      </c>
      <c r="B27" s="359"/>
      <c r="C27" s="359"/>
      <c r="D27" s="359"/>
      <c r="E27" s="362"/>
      <c r="F27" s="358" t="s">
        <v>50</v>
      </c>
      <c r="G27" s="359"/>
      <c r="H27" s="359"/>
      <c r="I27" s="359"/>
      <c r="J27" s="130"/>
      <c r="K27" s="1"/>
      <c r="L27" s="1"/>
    </row>
    <row r="28" spans="1:13" ht="34.950000000000003" customHeight="1" thickBot="1" x14ac:dyDescent="0.35">
      <c r="A28" s="131" t="s">
        <v>218</v>
      </c>
      <c r="B28" s="13" t="s">
        <v>51</v>
      </c>
      <c r="C28" s="112" t="s">
        <v>52</v>
      </c>
      <c r="D28" s="127" t="s">
        <v>191</v>
      </c>
      <c r="E28" s="128" t="s">
        <v>53</v>
      </c>
      <c r="F28" s="139" t="s">
        <v>54</v>
      </c>
      <c r="G28" s="112" t="s">
        <v>55</v>
      </c>
      <c r="H28" s="13" t="s">
        <v>209</v>
      </c>
      <c r="I28" s="112" t="s">
        <v>56</v>
      </c>
      <c r="J28" t="s">
        <v>57</v>
      </c>
    </row>
    <row r="29" spans="1:13" ht="18" thickBot="1" x14ac:dyDescent="0.35">
      <c r="A29" s="132" t="s">
        <v>58</v>
      </c>
      <c r="B29" s="295" t="s">
        <v>61</v>
      </c>
      <c r="C29" s="117" t="str">
        <f>VLOOKUP(Tableau1[[#This Row],[Personne enseignante]],Feuil_M!$A$3:$B$8,2,FALSE)</f>
        <v>-</v>
      </c>
      <c r="D29" s="295" t="s">
        <v>61</v>
      </c>
      <c r="E29" s="126" t="str">
        <f>VLOOKUP(Tableau1[[#This Row],[Responsable de l’encadrement]],Feuil_M!$A$3:$B$8,2,FALSE)</f>
        <v>-</v>
      </c>
      <c r="F29" s="296" t="s">
        <v>61</v>
      </c>
      <c r="G29" s="117" t="str">
        <f>VLOOKUP(Tableau1[[#This Row],[Personne enseignante2]],Feuil_M!$A$3:$B$8,2,FALSE)</f>
        <v>-</v>
      </c>
      <c r="H29" s="295" t="s">
        <v>61</v>
      </c>
      <c r="I29" s="49" t="str">
        <f>VLOOKUP(Tableau1[[#This Row],[Responsable de l’encadrement2]],Feuil_M!$A$3:$B$8,2,FALSE)</f>
        <v>-</v>
      </c>
    </row>
    <row r="30" spans="1:13" ht="18" thickBot="1" x14ac:dyDescent="0.35">
      <c r="A30" s="132" t="s">
        <v>62</v>
      </c>
      <c r="B30" s="295" t="s">
        <v>61</v>
      </c>
      <c r="C30" s="117" t="str">
        <f>VLOOKUP(Tableau1[[#This Row],[Personne enseignante]],Feuil_M!$A$3:$B$8,2,FALSE)</f>
        <v>-</v>
      </c>
      <c r="D30" s="295" t="s">
        <v>61</v>
      </c>
      <c r="E30" s="126" t="str">
        <f>VLOOKUP(Tableau1[[#This Row],[Responsable de l’encadrement]],Feuil_M!$A$3:$B$8,2,FALSE)</f>
        <v>-</v>
      </c>
      <c r="F30" s="296" t="s">
        <v>61</v>
      </c>
      <c r="G30" s="117" t="str">
        <f>VLOOKUP(Tableau1[[#This Row],[Personne enseignante2]],Feuil_M!$A$3:$B$8,2,FALSE)</f>
        <v>-</v>
      </c>
      <c r="H30" s="295" t="s">
        <v>61</v>
      </c>
      <c r="I30" s="49" t="str">
        <f>VLOOKUP(Tableau1[[#This Row],[Responsable de l’encadrement2]],Feuil_M!$A$3:$B$8,2,FALSE)</f>
        <v>-</v>
      </c>
    </row>
    <row r="31" spans="1:13" ht="18" thickBot="1" x14ac:dyDescent="0.35">
      <c r="A31" s="132" t="s">
        <v>64</v>
      </c>
      <c r="B31" s="295" t="s">
        <v>61</v>
      </c>
      <c r="C31" s="117" t="str">
        <f>VLOOKUP(Tableau1[[#This Row],[Personne enseignante]],Feuil_M!$A$3:$B$8,2,FALSE)</f>
        <v>-</v>
      </c>
      <c r="D31" s="295" t="s">
        <v>61</v>
      </c>
      <c r="E31" s="126" t="str">
        <f>VLOOKUP(Tableau1[[#This Row],[Responsable de l’encadrement]],Feuil_M!$A$3:$B$8,2,FALSE)</f>
        <v>-</v>
      </c>
      <c r="F31" s="296" t="s">
        <v>61</v>
      </c>
      <c r="G31" s="117" t="str">
        <f>VLOOKUP(Tableau1[[#This Row],[Personne enseignante2]],Feuil_M!$A$3:$B$8,2,FALSE)</f>
        <v>-</v>
      </c>
      <c r="H31" s="295" t="s">
        <v>61</v>
      </c>
      <c r="I31" s="49" t="str">
        <f>VLOOKUP(Tableau1[[#This Row],[Responsable de l’encadrement2]],Feuil_M!$A$3:$B$8,2,FALSE)</f>
        <v>-</v>
      </c>
      <c r="J31" s="27"/>
    </row>
    <row r="32" spans="1:13" ht="18" thickBot="1" x14ac:dyDescent="0.35">
      <c r="A32" s="132" t="s">
        <v>65</v>
      </c>
      <c r="B32" s="295" t="s">
        <v>61</v>
      </c>
      <c r="C32" s="117" t="str">
        <f>VLOOKUP(Tableau1[[#This Row],[Personne enseignante]],Feuil_M!$A$3:$B$8,2,FALSE)</f>
        <v>-</v>
      </c>
      <c r="D32" s="295" t="s">
        <v>61</v>
      </c>
      <c r="E32" s="126" t="str">
        <f>VLOOKUP(Tableau1[[#This Row],[Responsable de l’encadrement]],Feuil_M!$A$3:$B$8,2,FALSE)</f>
        <v>-</v>
      </c>
      <c r="F32" s="296" t="s">
        <v>61</v>
      </c>
      <c r="G32" s="117" t="str">
        <f>VLOOKUP(Tableau1[[#This Row],[Personne enseignante2]],Feuil_M!$A$3:$B$8,2,FALSE)</f>
        <v>-</v>
      </c>
      <c r="H32" s="295" t="s">
        <v>61</v>
      </c>
      <c r="I32" s="49" t="str">
        <f>VLOOKUP(Tableau1[[#This Row],[Responsable de l’encadrement2]],Feuil_M!$A$3:$B$8,2,FALSE)</f>
        <v>-</v>
      </c>
    </row>
    <row r="33" spans="1:15" ht="18" thickBot="1" x14ac:dyDescent="0.35">
      <c r="A33" s="132" t="s">
        <v>67</v>
      </c>
      <c r="B33" s="295" t="s">
        <v>61</v>
      </c>
      <c r="C33" s="117" t="str">
        <f>VLOOKUP(Tableau1[[#This Row],[Personne enseignante]],Feuil_M!$A$3:$B$8,2,FALSE)</f>
        <v>-</v>
      </c>
      <c r="D33" s="295" t="s">
        <v>61</v>
      </c>
      <c r="E33" s="126" t="str">
        <f>VLOOKUP(Tableau1[[#This Row],[Responsable de l’encadrement]],Feuil_M!$A$3:$B$8,2,FALSE)</f>
        <v>-</v>
      </c>
      <c r="F33" s="296" t="s">
        <v>61</v>
      </c>
      <c r="G33" s="117" t="str">
        <f>VLOOKUP(Tableau1[[#This Row],[Personne enseignante2]],Feuil_M!$A$3:$B$8,2,FALSE)</f>
        <v>-</v>
      </c>
      <c r="H33" s="295" t="s">
        <v>61</v>
      </c>
      <c r="I33" s="49" t="str">
        <f>VLOOKUP(Tableau1[[#This Row],[Responsable de l’encadrement2]],Feuil_M!$A$3:$B$8,2,FALSE)</f>
        <v>-</v>
      </c>
      <c r="J33" s="27"/>
    </row>
    <row r="34" spans="1:15" ht="18.45" customHeight="1" thickBot="1" x14ac:dyDescent="0.45">
      <c r="A34" s="132" t="s">
        <v>69</v>
      </c>
      <c r="B34" s="295" t="s">
        <v>61</v>
      </c>
      <c r="C34" s="117" t="str">
        <f>VLOOKUP(Tableau1[[#This Row],[Personne enseignante]],Feuil_M!$A$3:$B$8,2,FALSE)</f>
        <v>-</v>
      </c>
      <c r="D34" s="295" t="s">
        <v>61</v>
      </c>
      <c r="E34" s="126" t="str">
        <f>VLOOKUP(Tableau1[[#This Row],[Responsable de l’encadrement]],Feuil_M!$A$3:$B$8,2,FALSE)</f>
        <v>-</v>
      </c>
      <c r="F34" s="296" t="s">
        <v>61</v>
      </c>
      <c r="G34" s="117" t="str">
        <f>VLOOKUP(Tableau1[[#This Row],[Personne enseignante2]],Feuil_M!$A$3:$B$8,2,FALSE)</f>
        <v>-</v>
      </c>
      <c r="H34" s="295" t="s">
        <v>61</v>
      </c>
      <c r="I34" s="49" t="str">
        <f>VLOOKUP(Tableau1[[#This Row],[Responsable de l’encadrement2]],Feuil_M!$A$3:$B$8,2,FALSE)</f>
        <v>-</v>
      </c>
      <c r="J34" s="134"/>
    </row>
    <row r="35" spans="1:15" ht="16.95" customHeight="1" thickBot="1" x14ac:dyDescent="0.35">
      <c r="A35" s="132" t="s">
        <v>70</v>
      </c>
      <c r="B35" s="295" t="s">
        <v>61</v>
      </c>
      <c r="C35" s="117" t="str">
        <f>VLOOKUP(Tableau1[[#This Row],[Personne enseignante]],Feuil_M!$A$3:$B$8,2,FALSE)</f>
        <v>-</v>
      </c>
      <c r="D35" s="295" t="s">
        <v>61</v>
      </c>
      <c r="E35" s="126" t="str">
        <f>VLOOKUP(Tableau1[[#This Row],[Responsable de l’encadrement]],Feuil_M!$A$3:$B$8,2,FALSE)</f>
        <v>-</v>
      </c>
      <c r="F35" s="296" t="s">
        <v>61</v>
      </c>
      <c r="G35" s="117" t="str">
        <f>VLOOKUP(Tableau1[[#This Row],[Personne enseignante2]],Feuil_M!$A$3:$B$8,2,FALSE)</f>
        <v>-</v>
      </c>
      <c r="H35" s="295" t="s">
        <v>61</v>
      </c>
      <c r="I35" s="49" t="str">
        <f>VLOOKUP(Tableau1[[#This Row],[Responsable de l’encadrement2]],Feuil_M!$A$3:$B$8,2,FALSE)</f>
        <v>-</v>
      </c>
      <c r="J35" s="27"/>
    </row>
    <row r="36" spans="1:15" ht="18" customHeight="1" thickBot="1" x14ac:dyDescent="0.35">
      <c r="A36" s="132" t="s">
        <v>71</v>
      </c>
      <c r="B36" s="295" t="s">
        <v>61</v>
      </c>
      <c r="C36" s="117" t="str">
        <f>VLOOKUP(Tableau1[[#This Row],[Personne enseignante]],Feuil_M!$A$3:$B$8,2,FALSE)</f>
        <v>-</v>
      </c>
      <c r="D36" s="295" t="s">
        <v>61</v>
      </c>
      <c r="E36" s="126" t="str">
        <f>VLOOKUP(Tableau1[[#This Row],[Responsable de l’encadrement]],Feuil_M!$A$3:$B$8,2,FALSE)</f>
        <v>-</v>
      </c>
      <c r="F36" s="296" t="s">
        <v>61</v>
      </c>
      <c r="G36" s="117" t="str">
        <f>VLOOKUP(Tableau1[[#This Row],[Personne enseignante2]],Feuil_M!$A$3:$B$8,2,FALSE)</f>
        <v>-</v>
      </c>
      <c r="H36" s="295" t="s">
        <v>61</v>
      </c>
      <c r="I36" s="49" t="str">
        <f>VLOOKUP(Tableau1[[#This Row],[Responsable de l’encadrement2]],Feuil_M!$A$3:$B$8,2,FALSE)</f>
        <v>-</v>
      </c>
      <c r="J36" s="1"/>
      <c r="K36" s="1"/>
      <c r="L36" s="1"/>
    </row>
    <row r="37" spans="1:15" ht="22.2" customHeight="1" thickBot="1" x14ac:dyDescent="0.35">
      <c r="A37" s="363"/>
      <c r="B37" s="364"/>
      <c r="C37" s="364"/>
      <c r="D37" s="52"/>
      <c r="E37" s="119"/>
      <c r="F37" s="91"/>
      <c r="G37" s="12"/>
      <c r="H37" s="4"/>
      <c r="I37" s="133"/>
      <c r="K37" s="353"/>
      <c r="L37" s="353"/>
    </row>
    <row r="38" spans="1:15" ht="18" customHeight="1" thickBot="1" x14ac:dyDescent="0.35">
      <c r="A38" s="108" t="s">
        <v>211</v>
      </c>
      <c r="B38" s="109"/>
      <c r="C38" s="163" t="str">
        <f>IF(SUBTOTAL(102,Tableau1[Résultats For1])=0,"",SUBTOTAL(101,Tableau1[Résultats For1]))</f>
        <v/>
      </c>
      <c r="D38" s="66"/>
      <c r="E38" s="164" t="str">
        <f>IF(SUBTOTAL(102,Tableau1[Résultats For2])=0,"",SUBTOTAL(101,Tableau1[Résultats For2]))</f>
        <v/>
      </c>
      <c r="F38" s="90"/>
      <c r="G38" s="164" t="str">
        <f>IF(SUBTOTAL(102,Tableau1[Résultats Som1])=0,"",SUBTOTAL(101,Tableau1[Résultats Som1]))</f>
        <v/>
      </c>
      <c r="H38" s="64"/>
      <c r="I38" s="164" t="str">
        <f>IF(SUBTOTAL(102,Tableau1[Résultats Som2])=0,"",SUBTOTAL(101,Tableau1[Résultats Som2]))</f>
        <v/>
      </c>
      <c r="K38" s="357"/>
      <c r="L38" s="357"/>
    </row>
    <row r="39" spans="1:15" ht="23.7" customHeight="1" x14ac:dyDescent="0.4">
      <c r="A39" s="365"/>
      <c r="B39" s="365"/>
      <c r="C39" s="365"/>
      <c r="D39" s="365"/>
      <c r="E39" s="365"/>
      <c r="F39" s="1"/>
      <c r="G39" s="1"/>
      <c r="H39" s="1"/>
      <c r="I39" s="1"/>
      <c r="J39" s="1"/>
    </row>
    <row r="40" spans="1:15" ht="36" customHeight="1" x14ac:dyDescent="0.3">
      <c r="A40" s="314" t="s">
        <v>210</v>
      </c>
      <c r="B40" s="314"/>
      <c r="C40" s="314"/>
      <c r="D40" s="314"/>
      <c r="E40" s="314"/>
      <c r="F40" s="1"/>
      <c r="G40" s="1"/>
      <c r="H40" s="1"/>
      <c r="I40" s="1"/>
      <c r="J40" s="1"/>
    </row>
    <row r="41" spans="1:15" ht="10.95" customHeight="1" x14ac:dyDescent="0.25">
      <c r="H41" s="1"/>
    </row>
    <row r="42" spans="1:15" ht="15" customHeight="1" thickBot="1" x14ac:dyDescent="0.35">
      <c r="D42" s="353" t="s">
        <v>212</v>
      </c>
      <c r="E42" s="353"/>
      <c r="F42" s="353"/>
      <c r="G42" s="353"/>
      <c r="I42" s="353" t="s">
        <v>213</v>
      </c>
      <c r="J42" s="353"/>
      <c r="K42" s="353"/>
      <c r="M42" s="43" t="s">
        <v>72</v>
      </c>
    </row>
    <row r="43" spans="1:15" ht="198" customHeight="1" thickBot="1" x14ac:dyDescent="0.3">
      <c r="D43" s="350" t="s">
        <v>214</v>
      </c>
      <c r="E43" s="351"/>
      <c r="F43" s="351"/>
      <c r="G43" s="352"/>
      <c r="I43" s="350" t="s">
        <v>214</v>
      </c>
      <c r="J43" s="351"/>
      <c r="K43" s="352"/>
      <c r="M43" s="354" t="s">
        <v>215</v>
      </c>
      <c r="N43" s="355"/>
    </row>
    <row r="44" spans="1:15" x14ac:dyDescent="0.25">
      <c r="D44" t="s">
        <v>216</v>
      </c>
      <c r="F44">
        <f>LEN(TRIM(D43))-LEN(SUBSTITUTE(D43," ",""))+1</f>
        <v>7</v>
      </c>
      <c r="I44" t="s">
        <v>216</v>
      </c>
      <c r="J44">
        <f>LEN(TRIM(I43))-LEN(SUBSTITUTE(I43," ",""))+1</f>
        <v>7</v>
      </c>
      <c r="M44" t="s">
        <v>216</v>
      </c>
      <c r="N44">
        <f>LEN(TRIM(M43))-LEN(SUBSTITUTE(M43," ",""))+1</f>
        <v>8</v>
      </c>
    </row>
    <row r="46" spans="1:15" ht="15.45" customHeight="1" thickBot="1" x14ac:dyDescent="0.35">
      <c r="D46" s="353" t="s">
        <v>212</v>
      </c>
      <c r="E46" s="353"/>
      <c r="F46" s="353"/>
      <c r="G46" s="353"/>
      <c r="I46" s="353" t="s">
        <v>213</v>
      </c>
      <c r="J46" s="353"/>
      <c r="K46" s="353"/>
      <c r="M46" s="43" t="s">
        <v>72</v>
      </c>
      <c r="O46" s="43"/>
    </row>
    <row r="47" spans="1:15" ht="176.7" customHeight="1" thickBot="1" x14ac:dyDescent="0.3">
      <c r="D47" s="350" t="s">
        <v>214</v>
      </c>
      <c r="E47" s="351"/>
      <c r="F47" s="351"/>
      <c r="G47" s="352"/>
      <c r="I47" s="350" t="s">
        <v>214</v>
      </c>
      <c r="J47" s="351"/>
      <c r="K47" s="352"/>
      <c r="M47" s="354" t="s">
        <v>215</v>
      </c>
      <c r="N47" s="355"/>
      <c r="O47" s="44"/>
    </row>
    <row r="48" spans="1:15" ht="22.95" customHeight="1" x14ac:dyDescent="0.25">
      <c r="D48" t="s">
        <v>216</v>
      </c>
      <c r="F48">
        <f>LEN(TRIM(D47))-LEN(SUBSTITUTE(D47," ",""))+1</f>
        <v>7</v>
      </c>
      <c r="I48" t="s">
        <v>216</v>
      </c>
      <c r="J48">
        <f>LEN(TRIM(I47))-LEN(SUBSTITUTE(I47," ",""))+1</f>
        <v>7</v>
      </c>
      <c r="M48" t="s">
        <v>216</v>
      </c>
      <c r="N48">
        <f>LEN(TRIM(M47))-LEN(SUBSTITUTE(M47," ",""))+1</f>
        <v>8</v>
      </c>
    </row>
    <row r="50" spans="4:15" ht="15.45" customHeight="1" thickBot="1" x14ac:dyDescent="0.35">
      <c r="D50" s="360" t="s">
        <v>212</v>
      </c>
      <c r="E50" s="360"/>
      <c r="F50" s="360"/>
      <c r="I50" s="353" t="s">
        <v>213</v>
      </c>
      <c r="J50" s="353"/>
      <c r="K50" s="353"/>
      <c r="M50" s="43" t="s">
        <v>72</v>
      </c>
    </row>
    <row r="51" spans="4:15" ht="172.2" customHeight="1" thickBot="1" x14ac:dyDescent="0.3">
      <c r="D51" s="350" t="s">
        <v>214</v>
      </c>
      <c r="E51" s="351"/>
      <c r="F51" s="351"/>
      <c r="G51" s="352"/>
      <c r="I51" s="350" t="s">
        <v>214</v>
      </c>
      <c r="J51" s="351"/>
      <c r="K51" s="352"/>
      <c r="M51" s="354" t="s">
        <v>215</v>
      </c>
      <c r="N51" s="355"/>
      <c r="O51" s="44"/>
    </row>
    <row r="52" spans="4:15" ht="22.2" customHeight="1" x14ac:dyDescent="0.25">
      <c r="D52" t="s">
        <v>216</v>
      </c>
      <c r="F52">
        <f>LEN(TRIM(D51))-LEN(SUBSTITUTE(D51," ",""))+1</f>
        <v>7</v>
      </c>
      <c r="I52" t="s">
        <v>216</v>
      </c>
      <c r="J52">
        <f>LEN(TRIM(I51))-LEN(SUBSTITUTE(I51," ",""))+1</f>
        <v>7</v>
      </c>
      <c r="M52" t="s">
        <v>216</v>
      </c>
      <c r="N52">
        <f>LEN(TRIM(M51))-LEN(SUBSTITUTE(M51," ",""))+1</f>
        <v>8</v>
      </c>
    </row>
    <row r="54" spans="4:15" ht="15.45" customHeight="1" thickBot="1" x14ac:dyDescent="0.35">
      <c r="D54" s="353" t="s">
        <v>212</v>
      </c>
      <c r="E54" s="353"/>
      <c r="F54" s="353"/>
      <c r="G54" s="353"/>
      <c r="I54" s="353" t="s">
        <v>213</v>
      </c>
      <c r="J54" s="353"/>
      <c r="K54" s="353"/>
      <c r="M54" s="43" t="s">
        <v>72</v>
      </c>
      <c r="O54" s="43"/>
    </row>
    <row r="55" spans="4:15" ht="169.2" customHeight="1" thickBot="1" x14ac:dyDescent="0.3">
      <c r="D55" s="350" t="s">
        <v>214</v>
      </c>
      <c r="E55" s="351"/>
      <c r="F55" s="351"/>
      <c r="G55" s="352"/>
      <c r="I55" s="350" t="s">
        <v>214</v>
      </c>
      <c r="J55" s="351"/>
      <c r="K55" s="352"/>
      <c r="M55" s="354" t="s">
        <v>215</v>
      </c>
      <c r="N55" s="355"/>
      <c r="O55" s="44"/>
    </row>
    <row r="56" spans="4:15" ht="19.95" customHeight="1" x14ac:dyDescent="0.25">
      <c r="D56" t="s">
        <v>216</v>
      </c>
      <c r="F56">
        <f>LEN(TRIM(D55))-LEN(SUBSTITUTE(D55," ",""))+1</f>
        <v>7</v>
      </c>
      <c r="I56" t="s">
        <v>216</v>
      </c>
      <c r="J56">
        <f>LEN(TRIM(I55))-LEN(SUBSTITUTE(I55," ",""))+1</f>
        <v>7</v>
      </c>
      <c r="M56" t="s">
        <v>216</v>
      </c>
      <c r="N56">
        <f>LEN(TRIM(M55))-LEN(SUBSTITUTE(M55," ",""))+1</f>
        <v>8</v>
      </c>
    </row>
    <row r="58" spans="4:15" ht="15.45" customHeight="1" thickBot="1" x14ac:dyDescent="0.35">
      <c r="D58" s="353" t="s">
        <v>212</v>
      </c>
      <c r="E58" s="353"/>
      <c r="F58" s="353"/>
      <c r="G58" s="353"/>
      <c r="I58" s="353" t="s">
        <v>213</v>
      </c>
      <c r="J58" s="353"/>
      <c r="K58" s="353"/>
      <c r="M58" s="43" t="s">
        <v>72</v>
      </c>
      <c r="O58" s="43"/>
    </row>
    <row r="59" spans="4:15" ht="166.2" customHeight="1" thickBot="1" x14ac:dyDescent="0.3">
      <c r="D59" s="350" t="s">
        <v>214</v>
      </c>
      <c r="E59" s="351"/>
      <c r="F59" s="351"/>
      <c r="G59" s="352"/>
      <c r="I59" s="350" t="s">
        <v>214</v>
      </c>
      <c r="J59" s="351"/>
      <c r="K59" s="352"/>
      <c r="M59" s="354" t="s">
        <v>215</v>
      </c>
      <c r="N59" s="355"/>
      <c r="O59" s="44"/>
    </row>
    <row r="60" spans="4:15" ht="17.7" customHeight="1" x14ac:dyDescent="0.25">
      <c r="D60" t="s">
        <v>216</v>
      </c>
      <c r="F60">
        <f>LEN(TRIM(D59))-LEN(SUBSTITUTE(D59," ",""))+1</f>
        <v>7</v>
      </c>
      <c r="I60" t="s">
        <v>216</v>
      </c>
      <c r="J60">
        <f>LEN(TRIM(I59))-LEN(SUBSTITUTE(I59," ",""))+1</f>
        <v>7</v>
      </c>
      <c r="M60" t="s">
        <v>216</v>
      </c>
      <c r="N60">
        <f>LEN(TRIM(M59))-LEN(SUBSTITUTE(M59," ",""))+1</f>
        <v>8</v>
      </c>
    </row>
    <row r="62" spans="4:15" ht="15.45" customHeight="1" thickBot="1" x14ac:dyDescent="0.35">
      <c r="D62" s="353" t="s">
        <v>212</v>
      </c>
      <c r="E62" s="353"/>
      <c r="F62" s="353"/>
      <c r="G62" s="353"/>
      <c r="I62" s="353" t="s">
        <v>213</v>
      </c>
      <c r="J62" s="353"/>
      <c r="K62" s="353"/>
      <c r="M62" s="43" t="s">
        <v>72</v>
      </c>
      <c r="O62" s="43"/>
    </row>
    <row r="63" spans="4:15" ht="148.19999999999999" customHeight="1" thickBot="1" x14ac:dyDescent="0.3">
      <c r="D63" s="350" t="s">
        <v>214</v>
      </c>
      <c r="E63" s="351"/>
      <c r="F63" s="351"/>
      <c r="G63" s="352"/>
      <c r="I63" s="350" t="s">
        <v>214</v>
      </c>
      <c r="J63" s="351"/>
      <c r="K63" s="352"/>
      <c r="M63" s="354" t="s">
        <v>215</v>
      </c>
      <c r="N63" s="355"/>
      <c r="O63" s="44"/>
    </row>
    <row r="64" spans="4:15" ht="16.95" customHeight="1" x14ac:dyDescent="0.25">
      <c r="D64" t="s">
        <v>216</v>
      </c>
      <c r="F64" s="93">
        <f>LEN(TRIM(D63))-LEN(SUBSTITUTE(D63," ",""))+1</f>
        <v>7</v>
      </c>
      <c r="I64" t="s">
        <v>216</v>
      </c>
      <c r="J64">
        <f>LEN(TRIM(I63))-LEN(SUBSTITUTE(I63," ",""))+1</f>
        <v>7</v>
      </c>
      <c r="M64" t="s">
        <v>216</v>
      </c>
    </row>
    <row r="66" spans="1:15" ht="17.7" customHeight="1" thickBot="1" x14ac:dyDescent="0.35">
      <c r="D66" s="353" t="s">
        <v>212</v>
      </c>
      <c r="E66" s="353"/>
      <c r="F66" s="353"/>
      <c r="G66" s="353"/>
      <c r="I66" s="353" t="s">
        <v>213</v>
      </c>
      <c r="J66" s="353"/>
      <c r="K66" s="353"/>
      <c r="M66" s="43" t="s">
        <v>72</v>
      </c>
    </row>
    <row r="67" spans="1:15" ht="150" customHeight="1" thickBot="1" x14ac:dyDescent="0.3">
      <c r="D67" s="350" t="s">
        <v>214</v>
      </c>
      <c r="E67" s="351"/>
      <c r="F67" s="351"/>
      <c r="G67" s="352"/>
      <c r="I67" s="350" t="s">
        <v>214</v>
      </c>
      <c r="J67" s="351"/>
      <c r="K67" s="352"/>
      <c r="M67" s="354" t="s">
        <v>215</v>
      </c>
      <c r="N67" s="355"/>
    </row>
    <row r="68" spans="1:15" ht="16.95" customHeight="1" x14ac:dyDescent="0.25">
      <c r="D68" t="s">
        <v>216</v>
      </c>
      <c r="F68" s="93">
        <f>LEN(TRIM(D67))-LEN(SUBSTITUTE(D67," ",""))+1</f>
        <v>7</v>
      </c>
      <c r="I68" t="s">
        <v>216</v>
      </c>
      <c r="J68">
        <f>LEN(TRIM(I67))-LEN(SUBSTITUTE(I67," ",""))+1</f>
        <v>7</v>
      </c>
      <c r="M68" t="s">
        <v>216</v>
      </c>
      <c r="N68">
        <f>LEN(TRIM(M67))-LEN(SUBSTITUTE(M67," ",""))+1</f>
        <v>8</v>
      </c>
    </row>
    <row r="69" spans="1:15" ht="25.2" customHeight="1" thickBot="1" x14ac:dyDescent="0.35">
      <c r="D69" s="353" t="s">
        <v>212</v>
      </c>
      <c r="E69" s="353"/>
      <c r="F69" s="353"/>
      <c r="G69" s="353"/>
      <c r="I69" s="353" t="s">
        <v>213</v>
      </c>
      <c r="J69" s="353"/>
      <c r="K69" s="356"/>
      <c r="M69" s="43" t="s">
        <v>72</v>
      </c>
      <c r="O69" s="43"/>
    </row>
    <row r="70" spans="1:15" ht="141.44999999999999" customHeight="1" thickBot="1" x14ac:dyDescent="0.3">
      <c r="D70" s="350" t="s">
        <v>217</v>
      </c>
      <c r="E70" s="351"/>
      <c r="F70" s="351"/>
      <c r="G70" s="352"/>
      <c r="I70" s="350" t="s">
        <v>214</v>
      </c>
      <c r="J70" s="351"/>
      <c r="K70" s="352"/>
      <c r="M70" s="354" t="s">
        <v>215</v>
      </c>
      <c r="N70" s="355"/>
      <c r="O70" s="44"/>
    </row>
    <row r="71" spans="1:15" ht="20.7" customHeight="1" x14ac:dyDescent="0.25">
      <c r="D71" t="s">
        <v>216</v>
      </c>
      <c r="F71" s="93">
        <f>LEN(TRIM(D70))-LEN(SUBSTITUTE(D70," ",""))+1</f>
        <v>7</v>
      </c>
      <c r="I71" s="92" t="s">
        <v>216</v>
      </c>
      <c r="J71" s="93">
        <f>LEN(TRIM(I70))-LEN(SUBSTITUTE(I70," ",""))+1</f>
        <v>7</v>
      </c>
      <c r="M71" t="s">
        <v>216</v>
      </c>
      <c r="N71">
        <f>LEN(TRIM(M70))-LEN(SUBSTITUTE(M70," ",""))+1</f>
        <v>8</v>
      </c>
    </row>
    <row r="73" spans="1:15" x14ac:dyDescent="0.25">
      <c r="A73" s="173"/>
    </row>
    <row r="75" spans="1:15" x14ac:dyDescent="0.25">
      <c r="A75" s="174"/>
    </row>
    <row r="77" spans="1:15" x14ac:dyDescent="0.25">
      <c r="A77" s="178"/>
      <c r="B77" s="177"/>
    </row>
  </sheetData>
  <sheetProtection algorithmName="SHA-512" hashValue="hupcK3RWDR1ak69judnOkLo3lsGbsA3dHkt7O5PWxx0kWsTV1GJ6N7AXn3TQv7XEod3Ktuc2QaZ+Qom9kyf6Bw==" saltValue="4hiZNOGDjKZXBBEqF6aSmg==" spinCount="100000" sheet="1" objects="1" scenarios="1" selectLockedCells="1"/>
  <mergeCells count="52">
    <mergeCell ref="I47:K47"/>
    <mergeCell ref="I51:K51"/>
    <mergeCell ref="I59:K59"/>
    <mergeCell ref="B2:F2"/>
    <mergeCell ref="A25:E25"/>
    <mergeCell ref="A24:F24"/>
    <mergeCell ref="D43:G43"/>
    <mergeCell ref="D42:G42"/>
    <mergeCell ref="D47:G47"/>
    <mergeCell ref="D46:G46"/>
    <mergeCell ref="D51:G51"/>
    <mergeCell ref="K37:L37"/>
    <mergeCell ref="D54:G54"/>
    <mergeCell ref="D55:G55"/>
    <mergeCell ref="D58:G58"/>
    <mergeCell ref="D59:G59"/>
    <mergeCell ref="M43:N43"/>
    <mergeCell ref="A14:D14"/>
    <mergeCell ref="A27:E27"/>
    <mergeCell ref="A37:C37"/>
    <mergeCell ref="A40:E40"/>
    <mergeCell ref="A39:E39"/>
    <mergeCell ref="F26:H26"/>
    <mergeCell ref="I43:K43"/>
    <mergeCell ref="M47:N47"/>
    <mergeCell ref="M51:N51"/>
    <mergeCell ref="K38:L38"/>
    <mergeCell ref="F27:I27"/>
    <mergeCell ref="I66:K66"/>
    <mergeCell ref="I42:K42"/>
    <mergeCell ref="I46:K46"/>
    <mergeCell ref="I50:K50"/>
    <mergeCell ref="D50:F50"/>
    <mergeCell ref="M63:N63"/>
    <mergeCell ref="I55:K55"/>
    <mergeCell ref="I54:K54"/>
    <mergeCell ref="I58:K58"/>
    <mergeCell ref="I62:K62"/>
    <mergeCell ref="I63:K63"/>
    <mergeCell ref="M55:N55"/>
    <mergeCell ref="M59:N59"/>
    <mergeCell ref="M67:N67"/>
    <mergeCell ref="M70:N70"/>
    <mergeCell ref="I67:K67"/>
    <mergeCell ref="I69:K69"/>
    <mergeCell ref="I70:K70"/>
    <mergeCell ref="D70:G70"/>
    <mergeCell ref="D62:G62"/>
    <mergeCell ref="D63:G63"/>
    <mergeCell ref="D66:G66"/>
    <mergeCell ref="D67:G67"/>
    <mergeCell ref="D69:G69"/>
  </mergeCells>
  <phoneticPr fontId="48" type="noConversion"/>
  <dataValidations count="2">
    <dataValidation type="custom" allowBlank="1" showErrorMessage="1" error="Le nombre de mots de cette zone de commentaire semble être supérieur à 150" sqref="K38:L38 M70:O70 M67:N67 M63:O63 M59:O59 M55:O55 M51:O51 M47:O47 M43:N43 I70:K70 I67:K67 I63:K63 I59:K59 I55:K55 I51:K51 I47:K47 I43:K43 D70:G70 D67:G67 D63:G63 D59:G59 D55:G55 D51:G51 D47:G47 D43:G43" xr:uid="{3EB4E809-B089-48BE-989E-279CBD311A60}">
      <formula1>LEN(TRIM(D38))-LEN(SUBSTITUTE(D38," ",""))+1&lt;=150</formula1>
    </dataValidation>
    <dataValidation allowBlank="1" showInputMessage="1" showErrorMessage="1" prompt="Le titre de cette feuille de calcul figure dans cette cellule. Entrez le logo de la société dans la cellule à droite." sqref="C2:F2" xr:uid="{217AD08C-F137-4E95-A623-26EFB2619789}"/>
  </dataValidations>
  <pageMargins left="0.7" right="0.7" top="0.75" bottom="0.75" header="0.3" footer="0.3"/>
  <pageSetup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5FEFC9D2-66CB-4FD0-9029-25EA14816BC5}">
          <x14:formula1>
            <xm:f>Feuil_M!$A$3:$A$8</xm:f>
          </x14:formula1>
          <xm:sqref>D29:D36 F29:F36 H29:H36 B29:B36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CEC77-E485-4C36-9222-16644166F40A}">
  <sheetPr codeName="Feuil3">
    <tabColor rgb="FFF7B8B3"/>
  </sheetPr>
  <dimension ref="A1:Q76"/>
  <sheetViews>
    <sheetView showGridLines="0" showRowColHeaders="0" zoomScale="65" zoomScaleNormal="65" workbookViewId="0">
      <selection activeCell="B29" sqref="B29"/>
    </sheetView>
  </sheetViews>
  <sheetFormatPr baseColWidth="10" defaultColWidth="11" defaultRowHeight="13.8" x14ac:dyDescent="0.25"/>
  <cols>
    <col min="1" max="1" width="26.69921875" customWidth="1"/>
    <col min="2" max="2" width="27.69921875" customWidth="1"/>
    <col min="3" max="3" width="14.69921875" hidden="1" customWidth="1"/>
    <col min="4" max="4" width="27.69921875" customWidth="1"/>
    <col min="5" max="5" width="29.69921875" hidden="1" customWidth="1"/>
    <col min="6" max="7" width="27.69921875" customWidth="1"/>
    <col min="8" max="8" width="32.69921875" customWidth="1"/>
    <col min="9" max="11" width="30.69921875" customWidth="1"/>
    <col min="12" max="12" width="15.69921875" customWidth="1"/>
    <col min="13" max="14" width="40.69921875" customWidth="1"/>
  </cols>
  <sheetData>
    <row r="1" spans="1:8" ht="21" customHeight="1" x14ac:dyDescent="0.25">
      <c r="A1" s="9"/>
    </row>
    <row r="2" spans="1:8" ht="22.2" customHeight="1" x14ac:dyDescent="0.25">
      <c r="A2" s="9"/>
      <c r="B2" s="373" t="s">
        <v>0</v>
      </c>
      <c r="C2" s="373"/>
      <c r="D2" s="373"/>
      <c r="E2" s="373"/>
      <c r="F2" s="373"/>
    </row>
    <row r="3" spans="1:8" ht="21.45" customHeight="1" x14ac:dyDescent="0.25">
      <c r="A3" s="9"/>
    </row>
    <row r="13" spans="1:8" ht="13.95" customHeight="1" x14ac:dyDescent="0.25"/>
    <row r="14" spans="1:8" ht="22.95" customHeight="1" x14ac:dyDescent="0.4">
      <c r="A14" s="361" t="s">
        <v>193</v>
      </c>
      <c r="B14" s="314"/>
      <c r="C14" s="314"/>
      <c r="D14" s="314"/>
    </row>
    <row r="15" spans="1:8" ht="14.4" customHeight="1" thickBot="1" x14ac:dyDescent="0.3"/>
    <row r="16" spans="1:8" ht="31.95" customHeight="1" x14ac:dyDescent="0.3">
      <c r="A16" s="39" t="s">
        <v>6</v>
      </c>
      <c r="B16" s="39" t="s">
        <v>47</v>
      </c>
      <c r="C16" s="87"/>
      <c r="D16" s="39" t="s">
        <v>7</v>
      </c>
      <c r="F16" s="39" t="s">
        <v>8</v>
      </c>
      <c r="G16" s="39" t="s">
        <v>9</v>
      </c>
      <c r="H16" s="39" t="s">
        <v>10</v>
      </c>
    </row>
    <row r="17" spans="1:12" ht="31.95" customHeight="1" thickBot="1" x14ac:dyDescent="0.3">
      <c r="A17" s="47" t="s">
        <v>195</v>
      </c>
      <c r="B17" s="277" t="s">
        <v>11</v>
      </c>
      <c r="C17" s="278"/>
      <c r="D17" s="277" t="s">
        <v>12</v>
      </c>
      <c r="E17" s="276"/>
      <c r="F17" s="277" t="s">
        <v>13</v>
      </c>
      <c r="G17" s="277" t="s">
        <v>14</v>
      </c>
      <c r="H17" s="277" t="s">
        <v>15</v>
      </c>
    </row>
    <row r="18" spans="1:12" ht="31.95" customHeight="1" thickBot="1" x14ac:dyDescent="0.3">
      <c r="A18" s="47" t="s">
        <v>16</v>
      </c>
      <c r="B18" s="284" t="s">
        <v>200</v>
      </c>
      <c r="C18" s="279"/>
      <c r="D18" s="284" t="s">
        <v>201</v>
      </c>
      <c r="E18" s="276"/>
      <c r="F18" s="280" t="s">
        <v>17</v>
      </c>
      <c r="G18" s="280" t="s">
        <v>18</v>
      </c>
      <c r="H18" s="280" t="s">
        <v>19</v>
      </c>
    </row>
    <row r="19" spans="1:12" ht="31.95" customHeight="1" thickBot="1" x14ac:dyDescent="0.3">
      <c r="A19" s="88" t="s">
        <v>20</v>
      </c>
      <c r="B19" s="281" t="s">
        <v>21</v>
      </c>
      <c r="C19" s="282"/>
      <c r="D19" s="281" t="s">
        <v>187</v>
      </c>
      <c r="E19" s="276"/>
      <c r="F19" s="281" t="s">
        <v>188</v>
      </c>
      <c r="G19" s="281" t="s">
        <v>194</v>
      </c>
      <c r="H19" s="281" t="s">
        <v>22</v>
      </c>
    </row>
    <row r="20" spans="1:12" ht="13.95" customHeight="1" x14ac:dyDescent="0.25"/>
    <row r="23" spans="1:12" ht="13.95" customHeight="1" x14ac:dyDescent="0.25"/>
    <row r="24" spans="1:12" ht="22.95" customHeight="1" x14ac:dyDescent="0.4">
      <c r="A24" s="368" t="s">
        <v>206</v>
      </c>
      <c r="B24" s="368"/>
      <c r="C24" s="368"/>
      <c r="D24" s="368"/>
      <c r="E24" s="368"/>
      <c r="F24" s="368"/>
      <c r="G24" s="2"/>
      <c r="I24" s="1"/>
      <c r="J24" s="1"/>
      <c r="K24" s="1"/>
      <c r="L24" s="1"/>
    </row>
    <row r="25" spans="1:12" ht="19.2" customHeight="1" x14ac:dyDescent="0.3">
      <c r="A25" s="367" t="s">
        <v>48</v>
      </c>
      <c r="B25" s="367"/>
      <c r="C25" s="367"/>
      <c r="D25" s="367"/>
      <c r="I25" s="1"/>
      <c r="J25" s="1"/>
      <c r="K25" s="1"/>
      <c r="L25" s="1"/>
    </row>
    <row r="26" spans="1:12" ht="15.6" thickBot="1" x14ac:dyDescent="0.3">
      <c r="E26" s="366"/>
      <c r="F26" s="376"/>
      <c r="G26" s="376"/>
      <c r="H26" s="25"/>
      <c r="I26" s="26"/>
      <c r="J26" s="1"/>
      <c r="K26" s="1"/>
      <c r="L26" s="1"/>
    </row>
    <row r="27" spans="1:12" ht="22.2" customHeight="1" thickTop="1" thickBot="1" x14ac:dyDescent="0.45">
      <c r="A27" s="377" t="s">
        <v>49</v>
      </c>
      <c r="B27" s="378"/>
      <c r="C27" s="378"/>
      <c r="D27" s="379"/>
      <c r="E27" s="138"/>
      <c r="F27" s="380" t="s">
        <v>50</v>
      </c>
      <c r="G27" s="381"/>
      <c r="H27" s="381"/>
      <c r="I27" s="382"/>
    </row>
    <row r="28" spans="1:12" ht="34.950000000000003" customHeight="1" thickBot="1" x14ac:dyDescent="0.35">
      <c r="A28" s="137" t="s">
        <v>224</v>
      </c>
      <c r="B28" s="38" t="s">
        <v>51</v>
      </c>
      <c r="C28" s="112" t="s">
        <v>52</v>
      </c>
      <c r="D28" s="75" t="s">
        <v>191</v>
      </c>
      <c r="E28" s="128" t="s">
        <v>53</v>
      </c>
      <c r="F28" s="139" t="s">
        <v>54</v>
      </c>
      <c r="G28" s="112" t="s">
        <v>55</v>
      </c>
      <c r="H28" s="13" t="s">
        <v>209</v>
      </c>
      <c r="I28" s="125" t="s">
        <v>56</v>
      </c>
    </row>
    <row r="29" spans="1:12" ht="18.45" customHeight="1" thickBot="1" x14ac:dyDescent="0.35">
      <c r="A29" s="59" t="s">
        <v>58</v>
      </c>
      <c r="B29" s="297" t="s">
        <v>61</v>
      </c>
      <c r="C29" s="135" t="str">
        <f>VLOOKUP(Tableau2[[#This Row],[Personne enseignante]],Feuil_M!$A$3:$B$8,2,FALSE)</f>
        <v>-</v>
      </c>
      <c r="D29" s="297" t="s">
        <v>61</v>
      </c>
      <c r="E29" s="135" t="str">
        <f>VLOOKUP(Tableau2[[#This Row],[Responsable de l’encadrement]],Feuil_M!$A$3:$B$8,2,FALSE)</f>
        <v>-</v>
      </c>
      <c r="F29" s="298" t="s">
        <v>61</v>
      </c>
      <c r="G29" s="136" t="str">
        <f>VLOOKUP(Tableau2[[#This Row],[Personne enseignante2]],Feuil_M!$A$3:$B$8,2,FALSE)</f>
        <v>-</v>
      </c>
      <c r="H29" s="297" t="s">
        <v>61</v>
      </c>
      <c r="I29" s="61" t="str">
        <f>VLOOKUP(Tableau2[[#This Row],[Responsable de l’encadrement2]],Feuil_M!$A$3:$B$8,2,FALSE)</f>
        <v>-</v>
      </c>
    </row>
    <row r="30" spans="1:12" ht="18" thickBot="1" x14ac:dyDescent="0.35">
      <c r="A30" s="59" t="s">
        <v>62</v>
      </c>
      <c r="B30" s="297" t="s">
        <v>61</v>
      </c>
      <c r="C30" s="72" t="str">
        <f>VLOOKUP(Tableau2[[#This Row],[Personne enseignante]],Feuil_M!$A$3:$B$8,2,FALSE)</f>
        <v>-</v>
      </c>
      <c r="D30" s="297" t="s">
        <v>61</v>
      </c>
      <c r="E30" s="72" t="str">
        <f>VLOOKUP(Tableau2[[#This Row],[Responsable de l’encadrement]],Feuil_M!$A$3:$B$8,2,FALSE)</f>
        <v>-</v>
      </c>
      <c r="F30" s="298" t="s">
        <v>61</v>
      </c>
      <c r="G30" s="60" t="str">
        <f>VLOOKUP(Tableau2[[#This Row],[Personne enseignante2]],Feuil_M!$A$3:$B$8,2,FALSE)</f>
        <v>-</v>
      </c>
      <c r="H30" s="297" t="s">
        <v>61</v>
      </c>
      <c r="I30" s="61" t="str">
        <f>VLOOKUP(Tableau2[[#This Row],[Responsable de l’encadrement2]],Feuil_M!$A$3:$B$8,2,FALSE)</f>
        <v>-</v>
      </c>
    </row>
    <row r="31" spans="1:12" ht="18" thickBot="1" x14ac:dyDescent="0.35">
      <c r="A31" s="62" t="s">
        <v>64</v>
      </c>
      <c r="B31" s="297" t="s">
        <v>61</v>
      </c>
      <c r="C31" s="72" t="str">
        <f>VLOOKUP(Tableau2[[#This Row],[Personne enseignante]],Feuil_M!$A$3:$B$8,2,FALSE)</f>
        <v>-</v>
      </c>
      <c r="D31" s="297" t="s">
        <v>61</v>
      </c>
      <c r="E31" s="72" t="str">
        <f>VLOOKUP(Tableau2[[#This Row],[Responsable de l’encadrement]],Feuil_M!$A$3:$B$8,2,FALSE)</f>
        <v>-</v>
      </c>
      <c r="F31" s="298" t="s">
        <v>61</v>
      </c>
      <c r="G31" s="49" t="str">
        <f>VLOOKUP(Tableau2[[#This Row],[Personne enseignante2]],Feuil_M!$A$3:$B$8,2,FALSE)</f>
        <v>-</v>
      </c>
      <c r="H31" s="297" t="s">
        <v>61</v>
      </c>
      <c r="I31" s="61" t="str">
        <f>VLOOKUP(Tableau2[[#This Row],[Responsable de l’encadrement2]],Feuil_M!$A$3:$B$8,2,FALSE)</f>
        <v>-</v>
      </c>
    </row>
    <row r="32" spans="1:12" ht="18" thickBot="1" x14ac:dyDescent="0.35">
      <c r="A32" s="62" t="s">
        <v>65</v>
      </c>
      <c r="B32" s="297" t="s">
        <v>61</v>
      </c>
      <c r="C32" s="72" t="str">
        <f>VLOOKUP(Tableau2[[#This Row],[Personne enseignante]],Feuil_M!$A$3:$B$8,2,FALSE)</f>
        <v>-</v>
      </c>
      <c r="D32" s="297" t="s">
        <v>61</v>
      </c>
      <c r="E32" s="72" t="str">
        <f>VLOOKUP(Tableau2[[#This Row],[Responsable de l’encadrement]],Feuil_M!$A$3:$B$8,2,FALSE)</f>
        <v>-</v>
      </c>
      <c r="F32" s="298" t="s">
        <v>61</v>
      </c>
      <c r="G32" s="49" t="str">
        <f>VLOOKUP(Tableau2[[#This Row],[Personne enseignante2]],Feuil_M!$A$3:$B$8,2,FALSE)</f>
        <v>-</v>
      </c>
      <c r="H32" s="297" t="s">
        <v>61</v>
      </c>
      <c r="I32" s="61" t="str">
        <f>VLOOKUP(Tableau2[[#This Row],[Responsable de l’encadrement2]],Feuil_M!$A$3:$B$8,2,FALSE)</f>
        <v>-</v>
      </c>
    </row>
    <row r="33" spans="1:17" ht="18" thickBot="1" x14ac:dyDescent="0.35">
      <c r="A33" s="62" t="s">
        <v>67</v>
      </c>
      <c r="B33" s="297" t="s">
        <v>61</v>
      </c>
      <c r="C33" s="72" t="str">
        <f>VLOOKUP(Tableau2[[#This Row],[Personne enseignante]],Feuil_M!$A$3:$B$8,2,FALSE)</f>
        <v>-</v>
      </c>
      <c r="D33" s="297" t="s">
        <v>61</v>
      </c>
      <c r="E33" s="72" t="str">
        <f>VLOOKUP(Tableau2[[#This Row],[Responsable de l’encadrement]],Feuil_M!$A$3:$B$8,2,FALSE)</f>
        <v>-</v>
      </c>
      <c r="F33" s="298" t="s">
        <v>61</v>
      </c>
      <c r="G33" s="49" t="str">
        <f>VLOOKUP(Tableau2[[#This Row],[Personne enseignante2]],Feuil_M!$A$3:$B$8,2,FALSE)</f>
        <v>-</v>
      </c>
      <c r="H33" s="297" t="s">
        <v>61</v>
      </c>
      <c r="I33" s="65" t="str">
        <f>VLOOKUP(Tableau2[[#This Row],[Responsable de l’encadrement2]],Feuil_M!$A$3:$B$8,2,FALSE)</f>
        <v>-</v>
      </c>
    </row>
    <row r="34" spans="1:17" ht="18" thickBot="1" x14ac:dyDescent="0.35">
      <c r="A34" s="62" t="s">
        <v>69</v>
      </c>
      <c r="B34" s="297" t="s">
        <v>61</v>
      </c>
      <c r="C34" s="72" t="str">
        <f>VLOOKUP(Tableau2[[#This Row],[Personne enseignante]],Feuil_M!$A$3:$B$8,2,FALSE)</f>
        <v>-</v>
      </c>
      <c r="D34" s="297" t="s">
        <v>61</v>
      </c>
      <c r="E34" s="72" t="str">
        <f>VLOOKUP(Tableau2[[#This Row],[Responsable de l’encadrement]],Feuil_M!$A$3:$B$8,2,FALSE)</f>
        <v>-</v>
      </c>
      <c r="F34" s="298" t="s">
        <v>61</v>
      </c>
      <c r="G34" s="49" t="str">
        <f>VLOOKUP(Tableau2[[#This Row],[Personne enseignante2]],Feuil_M!$A$3:$B$8,2,FALSE)</f>
        <v>-</v>
      </c>
      <c r="H34" s="297" t="s">
        <v>61</v>
      </c>
      <c r="I34" s="65" t="str">
        <f>VLOOKUP(Tableau2[[#This Row],[Responsable de l’encadrement2]],Feuil_M!$A$3:$B$8,2,FALSE)</f>
        <v>-</v>
      </c>
    </row>
    <row r="35" spans="1:17" ht="18" thickBot="1" x14ac:dyDescent="0.35">
      <c r="A35" s="62" t="s">
        <v>70</v>
      </c>
      <c r="B35" s="297" t="s">
        <v>61</v>
      </c>
      <c r="C35" s="72" t="str">
        <f>VLOOKUP(Tableau2[[#This Row],[Personne enseignante]],Feuil_M!$A$3:$B$8,2,FALSE)</f>
        <v>-</v>
      </c>
      <c r="D35" s="297" t="s">
        <v>61</v>
      </c>
      <c r="E35" s="72" t="str">
        <f>VLOOKUP(Tableau2[[#This Row],[Responsable de l’encadrement]],Feuil_M!$A$3:$B$8,2,FALSE)</f>
        <v>-</v>
      </c>
      <c r="F35" s="298" t="s">
        <v>61</v>
      </c>
      <c r="G35" s="49" t="str">
        <f>VLOOKUP(Tableau2[[#This Row],[Personne enseignante2]],Feuil_M!$A$3:$B$8,2,FALSE)</f>
        <v>-</v>
      </c>
      <c r="H35" s="297" t="s">
        <v>61</v>
      </c>
      <c r="I35" s="65" t="str">
        <f>VLOOKUP(Tableau2[[#This Row],[Responsable de l’encadrement2]],Feuil_M!$A$3:$B$8,2,FALSE)</f>
        <v>-</v>
      </c>
    </row>
    <row r="36" spans="1:17" ht="18" thickBot="1" x14ac:dyDescent="0.35">
      <c r="A36" s="62" t="s">
        <v>71</v>
      </c>
      <c r="B36" s="297" t="s">
        <v>61</v>
      </c>
      <c r="C36" s="49" t="str">
        <f>VLOOKUP(Tableau2[[#This Row],[Personne enseignante]],Feuil_M!$A$3:$B$8,2,FALSE)</f>
        <v>-</v>
      </c>
      <c r="D36" s="297" t="s">
        <v>61</v>
      </c>
      <c r="E36" s="49" t="str">
        <f>VLOOKUP(Tableau2[[#This Row],[Responsable de l’encadrement]],Feuil_M!$A$3:$B$8,2,FALSE)</f>
        <v>-</v>
      </c>
      <c r="F36" s="298" t="s">
        <v>61</v>
      </c>
      <c r="G36" s="60" t="str">
        <f>VLOOKUP(Tableau2[[#This Row],[Personne enseignante2]],Feuil_M!$A$3:$B$8,2,FALSE)</f>
        <v>-</v>
      </c>
      <c r="H36" s="297" t="s">
        <v>61</v>
      </c>
      <c r="I36" s="61" t="str">
        <f>VLOOKUP(Tableau2[[#This Row],[Responsable de l’encadrement2]],Feuil_M!$A$3:$B$8,2,FALSE)</f>
        <v>-</v>
      </c>
    </row>
    <row r="37" spans="1:17" ht="18" thickBot="1" x14ac:dyDescent="0.35">
      <c r="A37" s="383"/>
      <c r="B37" s="384"/>
      <c r="C37" s="384"/>
      <c r="D37" s="63"/>
      <c r="E37" s="35"/>
      <c r="F37" s="12"/>
      <c r="G37" s="12"/>
      <c r="H37" s="12"/>
      <c r="I37" s="17"/>
    </row>
    <row r="38" spans="1:17" ht="18" customHeight="1" thickBot="1" x14ac:dyDescent="0.35">
      <c r="A38" s="106" t="s">
        <v>211</v>
      </c>
      <c r="B38" s="107"/>
      <c r="C38" s="163" t="str">
        <f>IF(SUBTOTAL(102,Tableau2[Résultats For1])=0,"",SUBTOTAL(101,Tableau2[Résultats For1]))</f>
        <v/>
      </c>
      <c r="D38" s="66" t="s">
        <v>73</v>
      </c>
      <c r="E38" s="163" t="str">
        <f>IF(SUBTOTAL(102,Tableau2[Résultats For2])=0,"",SUBTOTAL(101,Tableau2[Résultats For2]))</f>
        <v/>
      </c>
      <c r="F38" s="66" t="s">
        <v>73</v>
      </c>
      <c r="G38" s="163" t="str">
        <f>IF(SUBTOTAL(102,Tableau2[Résultats Som1])=0,"",SUBTOTAL(101,Tableau2[Résultats Som1]))</f>
        <v/>
      </c>
      <c r="H38" s="64"/>
      <c r="I38" s="165" t="str">
        <f>IF(SUBTOTAL(102,Tableau2[Résultats Som2])=0,"",SUBTOTAL(101,Tableau2[Résultats Som2]))</f>
        <v/>
      </c>
    </row>
    <row r="40" spans="1:17" ht="34.200000000000003" customHeight="1" x14ac:dyDescent="0.3">
      <c r="A40" s="314" t="s">
        <v>223</v>
      </c>
      <c r="B40" s="314"/>
      <c r="C40" s="314"/>
      <c r="D40" s="314"/>
      <c r="E40" s="314"/>
      <c r="F40" s="1"/>
      <c r="G40" s="1"/>
      <c r="H40" s="1"/>
      <c r="I40" s="1"/>
      <c r="J40" s="1"/>
      <c r="K40" s="1"/>
      <c r="L40" s="1"/>
    </row>
    <row r="41" spans="1:17" ht="12" customHeight="1" x14ac:dyDescent="0.25">
      <c r="G41" s="1"/>
      <c r="H41" s="1"/>
      <c r="I41" s="1"/>
      <c r="J41" s="1"/>
      <c r="K41" s="1"/>
      <c r="L41" s="1"/>
    </row>
    <row r="42" spans="1:17" ht="19.95" customHeight="1" thickBot="1" x14ac:dyDescent="0.35">
      <c r="C42" s="353" t="s">
        <v>212</v>
      </c>
      <c r="D42" s="353"/>
      <c r="E42" s="353"/>
      <c r="F42" s="353"/>
      <c r="G42" s="353"/>
      <c r="I42" s="369" t="s">
        <v>213</v>
      </c>
      <c r="J42" s="369"/>
      <c r="K42" s="369"/>
      <c r="M42" s="353" t="s">
        <v>72</v>
      </c>
      <c r="N42" s="353"/>
    </row>
    <row r="43" spans="1:17" ht="199.95" customHeight="1" thickBot="1" x14ac:dyDescent="0.3">
      <c r="B43" s="29"/>
      <c r="C43" s="100" t="s">
        <v>214</v>
      </c>
      <c r="D43" s="370"/>
      <c r="E43" s="371"/>
      <c r="F43" s="371"/>
      <c r="G43" s="372"/>
      <c r="I43" s="350" t="s">
        <v>214</v>
      </c>
      <c r="J43" s="351"/>
      <c r="K43" s="352"/>
      <c r="M43" s="374" t="s">
        <v>215</v>
      </c>
      <c r="N43" s="375"/>
      <c r="O43" s="16"/>
      <c r="Q43" s="16"/>
    </row>
    <row r="44" spans="1:17" ht="19.95" customHeight="1" x14ac:dyDescent="0.25">
      <c r="D44" t="s">
        <v>216</v>
      </c>
      <c r="E44">
        <f>LEN(TRIM(C43))-LEN(SUBSTITUTE(C43," ",""))+1</f>
        <v>7</v>
      </c>
      <c r="F44">
        <f>LEN(TRIM(D43))-LEN(SUBSTITUTE(D43," ",""))+1</f>
        <v>1</v>
      </c>
      <c r="I44" t="s">
        <v>216</v>
      </c>
      <c r="J44">
        <f>LEN(TRIM(I43))-LEN(SUBSTITUTE(I43," ",""))+1</f>
        <v>7</v>
      </c>
      <c r="M44" t="s">
        <v>216</v>
      </c>
      <c r="N44">
        <f>LEN(TRIM(M43))-LEN(SUBSTITUTE(M43," ",""))+1</f>
        <v>8</v>
      </c>
    </row>
    <row r="45" spans="1:17" ht="13.95" customHeight="1" x14ac:dyDescent="0.25"/>
    <row r="46" spans="1:17" ht="22.95" customHeight="1" thickBot="1" x14ac:dyDescent="0.35">
      <c r="D46" s="369" t="s">
        <v>212</v>
      </c>
      <c r="E46" s="369"/>
      <c r="F46" s="369"/>
      <c r="I46" s="369" t="s">
        <v>213</v>
      </c>
      <c r="J46" s="369"/>
      <c r="K46" s="369"/>
      <c r="M46" s="353" t="s">
        <v>72</v>
      </c>
      <c r="N46" s="353"/>
    </row>
    <row r="47" spans="1:17" ht="199.95" customHeight="1" thickBot="1" x14ac:dyDescent="0.3">
      <c r="D47" s="350" t="s">
        <v>214</v>
      </c>
      <c r="E47" s="351"/>
      <c r="F47" s="351"/>
      <c r="G47" s="352"/>
      <c r="I47" s="350" t="s">
        <v>214</v>
      </c>
      <c r="J47" s="351"/>
      <c r="K47" s="352"/>
      <c r="M47" s="354" t="s">
        <v>215</v>
      </c>
      <c r="N47" s="355"/>
      <c r="O47" s="44"/>
      <c r="Q47" s="44"/>
    </row>
    <row r="48" spans="1:17" ht="21.45" customHeight="1" x14ac:dyDescent="0.25">
      <c r="D48" t="s">
        <v>216</v>
      </c>
      <c r="E48">
        <f>LEN(TRIM(D47))-LEN(SUBSTITUTE(D47," ",""))+1</f>
        <v>7</v>
      </c>
      <c r="F48">
        <f>LEN(TRIM(D47))-LEN(SUBSTITUTE(D47," ",""))+1</f>
        <v>7</v>
      </c>
      <c r="I48" t="s">
        <v>216</v>
      </c>
      <c r="J48">
        <f>LEN(TRIM(I47))-LEN(SUBSTITUTE(I47," ",""))+1</f>
        <v>7</v>
      </c>
      <c r="M48" t="s">
        <v>216</v>
      </c>
      <c r="N48">
        <f>LEN(TRIM(M47))-LEN(SUBSTITUTE(M47," ",""))+1</f>
        <v>8</v>
      </c>
    </row>
    <row r="50" spans="4:14" ht="13.95" customHeight="1" thickBot="1" x14ac:dyDescent="0.35">
      <c r="D50" s="353" t="s">
        <v>212</v>
      </c>
      <c r="E50" s="353"/>
      <c r="F50" s="353"/>
      <c r="G50" s="353"/>
      <c r="I50" s="369" t="s">
        <v>213</v>
      </c>
      <c r="J50" s="369"/>
      <c r="K50" s="369"/>
      <c r="M50" s="353" t="s">
        <v>72</v>
      </c>
      <c r="N50" s="353"/>
    </row>
    <row r="51" spans="4:14" ht="197.7" customHeight="1" thickBot="1" x14ac:dyDescent="0.3">
      <c r="D51" s="350" t="s">
        <v>214</v>
      </c>
      <c r="E51" s="351"/>
      <c r="F51" s="351"/>
      <c r="G51" s="352"/>
      <c r="H51" s="96"/>
      <c r="I51" s="350" t="s">
        <v>214</v>
      </c>
      <c r="J51" s="351"/>
      <c r="K51" s="352"/>
      <c r="M51" s="354" t="s">
        <v>215</v>
      </c>
      <c r="N51" s="355"/>
    </row>
    <row r="52" spans="4:14" ht="14.7" customHeight="1" x14ac:dyDescent="0.25">
      <c r="D52" t="s">
        <v>216</v>
      </c>
      <c r="F52">
        <f>LEN(TRIM(D51))-LEN(SUBSTITUTE(D51," ",""))+1</f>
        <v>7</v>
      </c>
      <c r="I52" t="s">
        <v>216</v>
      </c>
      <c r="J52">
        <f>LEN(TRIM(I51))-LEN(SUBSTITUTE(I51," ",""))+1</f>
        <v>7</v>
      </c>
      <c r="M52" t="s">
        <v>216</v>
      </c>
      <c r="N52">
        <f>LEN(TRIM(M51))-LEN(SUBSTITUTE(M51," ",""))+1</f>
        <v>8</v>
      </c>
    </row>
    <row r="54" spans="4:14" ht="16.2" thickBot="1" x14ac:dyDescent="0.35">
      <c r="D54" s="353" t="s">
        <v>212</v>
      </c>
      <c r="E54" s="353"/>
      <c r="F54" s="353"/>
      <c r="G54" s="353"/>
      <c r="I54" s="369" t="s">
        <v>213</v>
      </c>
      <c r="J54" s="369"/>
      <c r="K54" s="369"/>
      <c r="M54" s="353" t="s">
        <v>72</v>
      </c>
      <c r="N54" s="353"/>
    </row>
    <row r="55" spans="4:14" ht="202.2" customHeight="1" thickBot="1" x14ac:dyDescent="0.3">
      <c r="D55" s="350" t="s">
        <v>214</v>
      </c>
      <c r="E55" s="351"/>
      <c r="F55" s="351"/>
      <c r="G55" s="352"/>
      <c r="H55" s="96"/>
      <c r="I55" s="350" t="s">
        <v>214</v>
      </c>
      <c r="J55" s="351"/>
      <c r="K55" s="352"/>
      <c r="M55" s="354" t="s">
        <v>215</v>
      </c>
      <c r="N55" s="355"/>
    </row>
    <row r="56" spans="4:14" x14ac:dyDescent="0.25">
      <c r="D56" t="s">
        <v>216</v>
      </c>
      <c r="F56">
        <f>LEN(TRIM(D55))-LEN(SUBSTITUTE(D55," ",""))+1</f>
        <v>7</v>
      </c>
      <c r="I56" t="s">
        <v>216</v>
      </c>
      <c r="J56">
        <f>LEN(TRIM(I55))-LEN(SUBSTITUTE(I55," ",""))+1</f>
        <v>7</v>
      </c>
      <c r="M56" t="s">
        <v>216</v>
      </c>
      <c r="N56">
        <f>LEN(TRIM(M55))-LEN(SUBSTITUTE(M55," ",""))+1</f>
        <v>8</v>
      </c>
    </row>
    <row r="58" spans="4:14" ht="16.2" thickBot="1" x14ac:dyDescent="0.35">
      <c r="D58" s="353" t="s">
        <v>212</v>
      </c>
      <c r="E58" s="353"/>
      <c r="F58" s="353"/>
      <c r="G58" s="353"/>
      <c r="I58" s="369" t="s">
        <v>213</v>
      </c>
      <c r="J58" s="369"/>
      <c r="K58" s="369"/>
      <c r="M58" s="353" t="s">
        <v>72</v>
      </c>
      <c r="N58" s="353"/>
    </row>
    <row r="59" spans="4:14" ht="196.2" customHeight="1" thickBot="1" x14ac:dyDescent="0.3">
      <c r="D59" s="350" t="s">
        <v>214</v>
      </c>
      <c r="E59" s="351"/>
      <c r="F59" s="351"/>
      <c r="G59" s="352"/>
      <c r="H59" s="96"/>
      <c r="I59" s="350" t="s">
        <v>214</v>
      </c>
      <c r="J59" s="351"/>
      <c r="K59" s="352"/>
      <c r="M59" s="354" t="s">
        <v>215</v>
      </c>
      <c r="N59" s="355"/>
    </row>
    <row r="60" spans="4:14" ht="14.7" customHeight="1" x14ac:dyDescent="0.25">
      <c r="D60" t="s">
        <v>216</v>
      </c>
      <c r="F60">
        <f>LEN(TRIM(D59))-LEN(SUBSTITUTE(D59," ",""))+1</f>
        <v>7</v>
      </c>
      <c r="I60" t="s">
        <v>216</v>
      </c>
      <c r="J60">
        <f>LEN(TRIM(I59))-LEN(SUBSTITUTE(I59," ",""))+1</f>
        <v>7</v>
      </c>
      <c r="M60" t="s">
        <v>216</v>
      </c>
      <c r="N60">
        <f>LEN(TRIM(M59))-LEN(SUBSTITUTE(M59," ",""))+1</f>
        <v>8</v>
      </c>
    </row>
    <row r="62" spans="4:14" ht="16.2" thickBot="1" x14ac:dyDescent="0.35">
      <c r="D62" s="353" t="s">
        <v>212</v>
      </c>
      <c r="E62" s="353"/>
      <c r="F62" s="353"/>
      <c r="G62" s="353"/>
      <c r="I62" s="369" t="s">
        <v>213</v>
      </c>
      <c r="J62" s="369"/>
      <c r="K62" s="369"/>
      <c r="M62" s="353" t="s">
        <v>72</v>
      </c>
      <c r="N62" s="353"/>
    </row>
    <row r="63" spans="4:14" ht="216" customHeight="1" thickBot="1" x14ac:dyDescent="0.3">
      <c r="D63" s="350" t="s">
        <v>214</v>
      </c>
      <c r="E63" s="351"/>
      <c r="F63" s="351"/>
      <c r="G63" s="352"/>
      <c r="H63" s="45"/>
      <c r="I63" s="350" t="s">
        <v>214</v>
      </c>
      <c r="J63" s="351"/>
      <c r="K63" s="352"/>
      <c r="M63" s="354" t="s">
        <v>215</v>
      </c>
      <c r="N63" s="355"/>
    </row>
    <row r="64" spans="4:14" x14ac:dyDescent="0.25">
      <c r="D64" t="s">
        <v>216</v>
      </c>
      <c r="F64">
        <f>LEN(TRIM(D63))-LEN(SUBSTITUTE(D63," ",""))+1</f>
        <v>7</v>
      </c>
      <c r="I64" t="s">
        <v>216</v>
      </c>
      <c r="J64">
        <f>LEN(TRIM(I63))-LEN(SUBSTITUTE(I63," ",""))+1</f>
        <v>7</v>
      </c>
      <c r="M64" t="s">
        <v>216</v>
      </c>
      <c r="N64">
        <f>LEN(TRIM(M63))-LEN(SUBSTITUTE(M63," ",""))+1</f>
        <v>8</v>
      </c>
    </row>
    <row r="66" spans="1:14" ht="16.2" thickBot="1" x14ac:dyDescent="0.35">
      <c r="D66" s="353" t="s">
        <v>212</v>
      </c>
      <c r="E66" s="353"/>
      <c r="F66" s="353"/>
      <c r="G66" s="353"/>
      <c r="I66" s="369" t="s">
        <v>213</v>
      </c>
      <c r="J66" s="369"/>
      <c r="K66" s="369"/>
      <c r="M66" s="353" t="s">
        <v>72</v>
      </c>
      <c r="N66" s="353"/>
    </row>
    <row r="67" spans="1:14" ht="205.2" customHeight="1" thickBot="1" x14ac:dyDescent="0.3">
      <c r="D67" s="350" t="s">
        <v>214</v>
      </c>
      <c r="E67" s="351"/>
      <c r="F67" s="351"/>
      <c r="G67" s="352"/>
      <c r="H67" s="96"/>
      <c r="I67" s="350" t="s">
        <v>214</v>
      </c>
      <c r="J67" s="351"/>
      <c r="K67" s="352"/>
      <c r="M67" s="354" t="s">
        <v>215</v>
      </c>
      <c r="N67" s="355"/>
    </row>
    <row r="68" spans="1:14" x14ac:dyDescent="0.25">
      <c r="D68" t="s">
        <v>216</v>
      </c>
      <c r="F68">
        <f>LEN(TRIM(D67))-LEN(SUBSTITUTE(D67," ",""))+1</f>
        <v>7</v>
      </c>
      <c r="I68" t="s">
        <v>216</v>
      </c>
      <c r="J68">
        <f>LEN(TRIM(I67))-LEN(SUBSTITUTE(I67," ",""))+1</f>
        <v>7</v>
      </c>
      <c r="M68" t="s">
        <v>216</v>
      </c>
      <c r="N68">
        <f>LEN(TRIM(M67))-LEN(SUBSTITUTE(M67," ",""))+1</f>
        <v>8</v>
      </c>
    </row>
    <row r="70" spans="1:14" ht="16.2" thickBot="1" x14ac:dyDescent="0.35">
      <c r="D70" s="353" t="s">
        <v>212</v>
      </c>
      <c r="E70" s="353"/>
      <c r="F70" s="353"/>
      <c r="G70" s="353"/>
      <c r="I70" s="369" t="s">
        <v>213</v>
      </c>
      <c r="J70" s="369"/>
      <c r="K70" s="369"/>
      <c r="M70" s="353" t="s">
        <v>72</v>
      </c>
      <c r="N70" s="353"/>
    </row>
    <row r="71" spans="1:14" ht="207.45" customHeight="1" thickBot="1" x14ac:dyDescent="0.3">
      <c r="D71" s="350" t="s">
        <v>214</v>
      </c>
      <c r="E71" s="351"/>
      <c r="F71" s="351"/>
      <c r="G71" s="352"/>
      <c r="H71" s="96"/>
      <c r="I71" s="350" t="s">
        <v>214</v>
      </c>
      <c r="J71" s="351"/>
      <c r="K71" s="352"/>
      <c r="M71" s="354" t="s">
        <v>215</v>
      </c>
      <c r="N71" s="355"/>
    </row>
    <row r="72" spans="1:14" x14ac:dyDescent="0.25">
      <c r="A72" s="173"/>
      <c r="D72" t="s">
        <v>216</v>
      </c>
      <c r="F72">
        <f>LEN(TRIM(D71))-LEN(SUBSTITUTE(D71," ",""))+1</f>
        <v>7</v>
      </c>
      <c r="I72" t="s">
        <v>216</v>
      </c>
      <c r="J72">
        <f>LEN(TRIM(I71))-LEN(SUBSTITUTE(I71," ",""))+1</f>
        <v>7</v>
      </c>
      <c r="M72" t="s">
        <v>216</v>
      </c>
      <c r="N72">
        <f>LEN(TRIM(M71))-LEN(SUBSTITUTE(M71," ",""))+1</f>
        <v>8</v>
      </c>
    </row>
    <row r="74" spans="1:14" x14ac:dyDescent="0.25">
      <c r="A74" s="174"/>
    </row>
    <row r="76" spans="1:14" x14ac:dyDescent="0.25">
      <c r="A76" s="178"/>
      <c r="B76" s="177"/>
    </row>
  </sheetData>
  <sheetProtection algorithmName="SHA-512" hashValue="EKZYIeSH++3PS7J3v6kM7QhaPB6fqbfPK9HqSPNy/c3LecZrusLhgjLTk5yRVkzzPC39IGy4kxlBjb+LTVEzmw==" saltValue="lBUUtimH4mLrpI6B28Hugg==" spinCount="100000" sheet="1" objects="1" scenarios="1" selectLockedCells="1"/>
  <mergeCells count="57">
    <mergeCell ref="M46:N46"/>
    <mergeCell ref="M54:N54"/>
    <mergeCell ref="I46:K46"/>
    <mergeCell ref="B2:F2"/>
    <mergeCell ref="M43:N43"/>
    <mergeCell ref="M42:N42"/>
    <mergeCell ref="A25:D25"/>
    <mergeCell ref="E26:G26"/>
    <mergeCell ref="A27:D27"/>
    <mergeCell ref="F27:I27"/>
    <mergeCell ref="A24:F24"/>
    <mergeCell ref="A14:D14"/>
    <mergeCell ref="A37:C37"/>
    <mergeCell ref="A40:E40"/>
    <mergeCell ref="I43:K43"/>
    <mergeCell ref="I42:K42"/>
    <mergeCell ref="M47:N47"/>
    <mergeCell ref="D51:G51"/>
    <mergeCell ref="D50:G50"/>
    <mergeCell ref="I51:K51"/>
    <mergeCell ref="M51:N51"/>
    <mergeCell ref="I50:K50"/>
    <mergeCell ref="M50:N50"/>
    <mergeCell ref="I47:K47"/>
    <mergeCell ref="D47:G47"/>
    <mergeCell ref="C42:G42"/>
    <mergeCell ref="D43:G43"/>
    <mergeCell ref="D55:G55"/>
    <mergeCell ref="I54:K54"/>
    <mergeCell ref="I55:K55"/>
    <mergeCell ref="D54:G54"/>
    <mergeCell ref="D46:F46"/>
    <mergeCell ref="M55:N55"/>
    <mergeCell ref="M58:N58"/>
    <mergeCell ref="D62:G62"/>
    <mergeCell ref="D63:G63"/>
    <mergeCell ref="I62:K62"/>
    <mergeCell ref="M62:N62"/>
    <mergeCell ref="I63:K63"/>
    <mergeCell ref="M63:N63"/>
    <mergeCell ref="D58:G58"/>
    <mergeCell ref="D59:G59"/>
    <mergeCell ref="I58:K58"/>
    <mergeCell ref="I59:K59"/>
    <mergeCell ref="M59:N59"/>
    <mergeCell ref="D66:G66"/>
    <mergeCell ref="D67:G67"/>
    <mergeCell ref="I66:K66"/>
    <mergeCell ref="M66:N66"/>
    <mergeCell ref="I67:K67"/>
    <mergeCell ref="M67:N67"/>
    <mergeCell ref="D70:G70"/>
    <mergeCell ref="D71:G71"/>
    <mergeCell ref="I70:K70"/>
    <mergeCell ref="M70:N70"/>
    <mergeCell ref="I71:K71"/>
    <mergeCell ref="M71:N71"/>
  </mergeCells>
  <phoneticPr fontId="48" type="noConversion"/>
  <dataValidations count="1">
    <dataValidation type="custom" allowBlank="1" showErrorMessage="1" error="Le nombre de mots de cette zone de commentaire semble être supérieur à 150" sqref="C43 M71:N71 M67:N67 M63:N63 M59:N59 M55:N55 M51:N51 M47:N47 M43:N43 I71:K71 I67:K67 I63:K63 I59:K59 I55:K55 I51:K51 I47:K47 I43:K43 D71:G71 D67:G67 D63:G63 D59:G59 D55:G55 D51:G51 D47:G47" xr:uid="{C296D922-7460-41F0-9A4A-DFB66364F7F5}">
      <formula1>LEN(TRIM(C43))-LEN(SUBSTITUTE(C43," ",""))+1&lt;=150</formula1>
    </dataValidation>
  </dataValidations>
  <pageMargins left="0.7" right="0.7" top="0.75" bottom="0.75" header="0.3" footer="0.3"/>
  <pageSetup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81C1BDFC-E774-439D-9ADA-E8D49FDFF2AC}">
          <x14:formula1>
            <xm:f>Feuil_M!$A$3:$A$8</xm:f>
          </x14:formula1>
          <xm:sqref>F29:F36 B29:B36 H29:H36 D29:D36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EF64A-9DBE-41BF-A1B9-3D50B1190E63}">
  <sheetPr codeName="Feuil4">
    <tabColor rgb="FFC1C2DA"/>
  </sheetPr>
  <dimension ref="A1:Q93"/>
  <sheetViews>
    <sheetView showGridLines="0" showRowColHeaders="0" zoomScale="65" zoomScaleNormal="65" workbookViewId="0">
      <selection activeCell="B29" sqref="B29"/>
    </sheetView>
  </sheetViews>
  <sheetFormatPr baseColWidth="10" defaultColWidth="11" defaultRowHeight="13.8" x14ac:dyDescent="0.25"/>
  <cols>
    <col min="1" max="1" width="26.69921875" customWidth="1"/>
    <col min="2" max="2" width="27.69921875" customWidth="1"/>
    <col min="3" max="3" width="15.69921875" hidden="1" customWidth="1"/>
    <col min="4" max="4" width="27.69921875" customWidth="1"/>
    <col min="5" max="5" width="17.19921875" hidden="1" customWidth="1"/>
    <col min="6" max="7" width="27.69921875" customWidth="1"/>
    <col min="8" max="8" width="32.69921875" customWidth="1"/>
    <col min="9" max="11" width="30.69921875" customWidth="1"/>
    <col min="12" max="12" width="15.69921875" customWidth="1"/>
    <col min="13" max="14" width="40.69921875" customWidth="1"/>
  </cols>
  <sheetData>
    <row r="1" spans="1:8" ht="21" customHeight="1" x14ac:dyDescent="0.25">
      <c r="A1" s="9"/>
    </row>
    <row r="2" spans="1:8" ht="22.2" customHeight="1" x14ac:dyDescent="0.25">
      <c r="A2" s="9"/>
      <c r="B2" s="373" t="s">
        <v>0</v>
      </c>
      <c r="C2" s="373"/>
      <c r="D2" s="373"/>
      <c r="E2" s="373"/>
      <c r="F2" s="373"/>
    </row>
    <row r="3" spans="1:8" ht="21.45" customHeight="1" x14ac:dyDescent="0.25">
      <c r="A3" s="9"/>
    </row>
    <row r="13" spans="1:8" ht="13.95" customHeight="1" x14ac:dyDescent="0.25"/>
    <row r="14" spans="1:8" ht="22.95" customHeight="1" x14ac:dyDescent="0.4">
      <c r="A14" s="361" t="s">
        <v>193</v>
      </c>
      <c r="B14" s="314"/>
      <c r="C14" s="314"/>
      <c r="D14" s="314"/>
    </row>
    <row r="15" spans="1:8" ht="14.4" customHeight="1" thickBot="1" x14ac:dyDescent="0.3"/>
    <row r="16" spans="1:8" ht="31.95" customHeight="1" x14ac:dyDescent="0.3">
      <c r="A16" s="39" t="s">
        <v>6</v>
      </c>
      <c r="B16" s="39" t="s">
        <v>47</v>
      </c>
      <c r="C16" s="87"/>
      <c r="D16" s="39" t="s">
        <v>7</v>
      </c>
      <c r="F16" s="39" t="s">
        <v>8</v>
      </c>
      <c r="G16" s="39" t="s">
        <v>9</v>
      </c>
      <c r="H16" s="39" t="s">
        <v>10</v>
      </c>
    </row>
    <row r="17" spans="1:10" ht="31.95" customHeight="1" thickBot="1" x14ac:dyDescent="0.3">
      <c r="A17" s="47" t="s">
        <v>195</v>
      </c>
      <c r="B17" s="277" t="s">
        <v>11</v>
      </c>
      <c r="C17" s="278"/>
      <c r="D17" s="277" t="s">
        <v>12</v>
      </c>
      <c r="E17" s="276"/>
      <c r="F17" s="277" t="s">
        <v>13</v>
      </c>
      <c r="G17" s="277" t="s">
        <v>14</v>
      </c>
      <c r="H17" s="277" t="s">
        <v>15</v>
      </c>
    </row>
    <row r="18" spans="1:10" ht="31.95" customHeight="1" thickBot="1" x14ac:dyDescent="0.3">
      <c r="A18" s="47" t="s">
        <v>16</v>
      </c>
      <c r="B18" s="284" t="s">
        <v>200</v>
      </c>
      <c r="C18" s="283"/>
      <c r="D18" s="284" t="s">
        <v>201</v>
      </c>
      <c r="E18" s="276"/>
      <c r="F18" s="280" t="s">
        <v>17</v>
      </c>
      <c r="G18" s="280" t="s">
        <v>18</v>
      </c>
      <c r="H18" s="280" t="s">
        <v>19</v>
      </c>
    </row>
    <row r="19" spans="1:10" ht="31.95" customHeight="1" thickBot="1" x14ac:dyDescent="0.3">
      <c r="A19" s="88" t="s">
        <v>20</v>
      </c>
      <c r="B19" s="281" t="s">
        <v>21</v>
      </c>
      <c r="C19" s="282"/>
      <c r="D19" s="281" t="s">
        <v>187</v>
      </c>
      <c r="E19" s="276"/>
      <c r="F19" s="281" t="s">
        <v>188</v>
      </c>
      <c r="G19" s="281" t="s">
        <v>194</v>
      </c>
      <c r="H19" s="281" t="s">
        <v>22</v>
      </c>
    </row>
    <row r="20" spans="1:10" ht="13.95" customHeight="1" x14ac:dyDescent="0.25"/>
    <row r="23" spans="1:10" ht="13.95" customHeight="1" x14ac:dyDescent="0.25"/>
    <row r="24" spans="1:10" ht="22.95" customHeight="1" x14ac:dyDescent="0.4">
      <c r="A24" s="368" t="s">
        <v>206</v>
      </c>
      <c r="B24" s="368"/>
      <c r="C24" s="368"/>
      <c r="D24" s="368"/>
      <c r="E24" s="368"/>
      <c r="F24" s="368"/>
      <c r="G24" s="2"/>
      <c r="I24" s="1"/>
      <c r="J24" s="1"/>
    </row>
    <row r="25" spans="1:10" ht="19.2" customHeight="1" x14ac:dyDescent="0.3">
      <c r="A25" s="367" t="s">
        <v>48</v>
      </c>
      <c r="B25" s="367"/>
      <c r="C25" s="367"/>
      <c r="D25" s="367"/>
      <c r="I25" s="1"/>
      <c r="J25" s="1"/>
    </row>
    <row r="26" spans="1:10" ht="15.6" thickBot="1" x14ac:dyDescent="0.3">
      <c r="E26" s="366"/>
      <c r="F26" s="366"/>
      <c r="G26" s="366"/>
      <c r="I26" s="1"/>
      <c r="J26" s="1"/>
    </row>
    <row r="27" spans="1:10" ht="22.2" customHeight="1" thickBot="1" x14ac:dyDescent="0.45">
      <c r="A27" s="386" t="s">
        <v>49</v>
      </c>
      <c r="B27" s="386"/>
      <c r="C27" s="386"/>
      <c r="D27" s="386"/>
      <c r="E27" s="387"/>
      <c r="F27" s="388" t="s">
        <v>50</v>
      </c>
      <c r="G27" s="389"/>
      <c r="H27" s="389"/>
      <c r="I27" s="386"/>
      <c r="J27" s="1"/>
    </row>
    <row r="28" spans="1:10" ht="34.950000000000003" customHeight="1" thickTop="1" thickBot="1" x14ac:dyDescent="0.35">
      <c r="A28" s="144" t="s">
        <v>229</v>
      </c>
      <c r="B28" s="38" t="s">
        <v>51</v>
      </c>
      <c r="C28" s="112" t="s">
        <v>52</v>
      </c>
      <c r="D28" s="38" t="s">
        <v>191</v>
      </c>
      <c r="E28" s="149" t="s">
        <v>53</v>
      </c>
      <c r="F28" s="139" t="s">
        <v>54</v>
      </c>
      <c r="G28" s="142" t="s">
        <v>55</v>
      </c>
      <c r="H28" s="143" t="s">
        <v>209</v>
      </c>
      <c r="I28" s="112" t="s">
        <v>56</v>
      </c>
      <c r="J28" t="s">
        <v>57</v>
      </c>
    </row>
    <row r="29" spans="1:10" ht="18" thickBot="1" x14ac:dyDescent="0.35">
      <c r="A29" s="140" t="s">
        <v>58</v>
      </c>
      <c r="B29" s="297" t="s">
        <v>61</v>
      </c>
      <c r="C29" s="60" t="str">
        <f>VLOOKUP(Tableau3[[#This Row],[Personne enseignante]],Feuil_M!$A$3:$B$8,2,FALSE)</f>
        <v>-</v>
      </c>
      <c r="D29" s="299" t="s">
        <v>61</v>
      </c>
      <c r="E29" s="141" t="str">
        <f>VLOOKUP(Tableau3[[#This Row],[Responsable de l’encadrement]],Feuil_M!$A$3:$B$8,2,FALSE)</f>
        <v>-</v>
      </c>
      <c r="F29" s="301" t="s">
        <v>61</v>
      </c>
      <c r="G29" s="60" t="str">
        <f>VLOOKUP(Tableau3[[#This Row],[Personne enseignante2]],Feuil_M!$A$3:$B$8,2,FALSE)</f>
        <v>-</v>
      </c>
      <c r="H29" s="297" t="s">
        <v>61</v>
      </c>
      <c r="I29" s="60" t="str">
        <f>VLOOKUP(Tableau3[[#This Row],[Responsable de l’encadrement2]],Feuil_M!$A$3:$B$8,2,FALSE)</f>
        <v>-</v>
      </c>
    </row>
    <row r="30" spans="1:10" ht="18" thickBot="1" x14ac:dyDescent="0.35">
      <c r="A30" s="19" t="s">
        <v>62</v>
      </c>
      <c r="B30" s="295" t="s">
        <v>61</v>
      </c>
      <c r="C30" s="49" t="str">
        <f>VLOOKUP(Tableau3[[#This Row],[Personne enseignante]],Feuil_M!$A$3:$B$8,2,FALSE)</f>
        <v>-</v>
      </c>
      <c r="D30" s="300" t="s">
        <v>61</v>
      </c>
      <c r="E30" s="50" t="str">
        <f>VLOOKUP(Tableau3[[#This Row],[Responsable de l’encadrement]],Feuil_M!$A$3:$B$8,2,FALSE)</f>
        <v>-</v>
      </c>
      <c r="F30" s="301" t="s">
        <v>61</v>
      </c>
      <c r="G30" s="49" t="str">
        <f>VLOOKUP(Tableau3[[#This Row],[Personne enseignante2]],Feuil_M!$A$3:$B$8,2,FALSE)</f>
        <v>-</v>
      </c>
      <c r="H30" s="295" t="s">
        <v>61</v>
      </c>
      <c r="I30" s="49" t="str">
        <f>VLOOKUP(Tableau3[[#This Row],[Responsable de l’encadrement2]],Feuil_M!$A$3:$B$8,2,FALSE)</f>
        <v>-</v>
      </c>
    </row>
    <row r="31" spans="1:10" ht="18" thickBot="1" x14ac:dyDescent="0.35">
      <c r="A31" s="19" t="s">
        <v>64</v>
      </c>
      <c r="B31" s="295" t="s">
        <v>61</v>
      </c>
      <c r="C31" s="49" t="str">
        <f>VLOOKUP(Tableau3[[#This Row],[Personne enseignante]],Feuil_M!$A$3:$B$8,2,FALSE)</f>
        <v>-</v>
      </c>
      <c r="D31" s="300" t="s">
        <v>61</v>
      </c>
      <c r="E31" s="50" t="str">
        <f>VLOOKUP(Tableau3[[#This Row],[Responsable de l’encadrement]],Feuil_M!$A$3:$B$8,2,FALSE)</f>
        <v>-</v>
      </c>
      <c r="F31" s="301" t="s">
        <v>61</v>
      </c>
      <c r="G31" s="49" t="str">
        <f>VLOOKUP(Tableau3[[#This Row],[Personne enseignante2]],Feuil_M!$A$3:$B$8,2,FALSE)</f>
        <v>-</v>
      </c>
      <c r="H31" s="295" t="s">
        <v>61</v>
      </c>
      <c r="I31" s="49" t="str">
        <f>VLOOKUP(Tableau3[[#This Row],[Responsable de l’encadrement2]],Feuil_M!$A$3:$B$8,2,FALSE)</f>
        <v>-</v>
      </c>
    </row>
    <row r="32" spans="1:10" ht="18" thickBot="1" x14ac:dyDescent="0.35">
      <c r="A32" s="19" t="s">
        <v>65</v>
      </c>
      <c r="B32" s="295" t="s">
        <v>61</v>
      </c>
      <c r="C32" s="49" t="str">
        <f>VLOOKUP(Tableau3[[#This Row],[Personne enseignante]],Feuil_M!$A$3:$B$8,2,FALSE)</f>
        <v>-</v>
      </c>
      <c r="D32" s="300" t="s">
        <v>61</v>
      </c>
      <c r="E32" s="50" t="str">
        <f>VLOOKUP(Tableau3[[#This Row],[Responsable de l’encadrement]],Feuil_M!$A$3:$B$8,2,FALSE)</f>
        <v>-</v>
      </c>
      <c r="F32" s="301" t="s">
        <v>61</v>
      </c>
      <c r="G32" s="49" t="str">
        <f>VLOOKUP(Tableau3[[#This Row],[Personne enseignante2]],Feuil_M!$A$3:$B$8,2,FALSE)</f>
        <v>-</v>
      </c>
      <c r="H32" s="295" t="s">
        <v>61</v>
      </c>
      <c r="I32" s="49" t="str">
        <f>VLOOKUP(Tableau3[[#This Row],[Responsable de l’encadrement2]],Feuil_M!$A$3:$B$8,2,FALSE)</f>
        <v>-</v>
      </c>
    </row>
    <row r="33" spans="1:17" ht="18" thickBot="1" x14ac:dyDescent="0.35">
      <c r="A33" s="19" t="s">
        <v>67</v>
      </c>
      <c r="B33" s="295" t="s">
        <v>61</v>
      </c>
      <c r="C33" s="49" t="str">
        <f>VLOOKUP(Tableau3[[#This Row],[Personne enseignante]],Feuil_M!$A$3:$B$8,2,FALSE)</f>
        <v>-</v>
      </c>
      <c r="D33" s="300" t="s">
        <v>61</v>
      </c>
      <c r="E33" s="50" t="str">
        <f>VLOOKUP(Tableau3[[#This Row],[Responsable de l’encadrement]],Feuil_M!$A$3:$B$8,2,FALSE)</f>
        <v>-</v>
      </c>
      <c r="F33" s="301" t="s">
        <v>61</v>
      </c>
      <c r="G33" s="49" t="str">
        <f>VLOOKUP(Tableau3[[#This Row],[Personne enseignante2]],Feuil_M!$A$3:$B$8,2,FALSE)</f>
        <v>-</v>
      </c>
      <c r="H33" s="295" t="s">
        <v>61</v>
      </c>
      <c r="I33" s="49" t="str">
        <f>VLOOKUP(Tableau3[[#This Row],[Responsable de l’encadrement2]],Feuil_M!$A$3:$B$8,2,FALSE)</f>
        <v>-</v>
      </c>
    </row>
    <row r="34" spans="1:17" ht="18" thickBot="1" x14ac:dyDescent="0.35">
      <c r="A34" s="19" t="s">
        <v>69</v>
      </c>
      <c r="B34" s="295" t="s">
        <v>61</v>
      </c>
      <c r="C34" s="49" t="str">
        <f>VLOOKUP(Tableau3[[#This Row],[Personne enseignante]],Feuil_M!$A$3:$B$8,2,FALSE)</f>
        <v>-</v>
      </c>
      <c r="D34" s="300" t="s">
        <v>61</v>
      </c>
      <c r="E34" s="50" t="str">
        <f>VLOOKUP(Tableau3[[#This Row],[Responsable de l’encadrement]],Feuil_M!$A$3:$B$8,2,FALSE)</f>
        <v>-</v>
      </c>
      <c r="F34" s="301" t="s">
        <v>61</v>
      </c>
      <c r="G34" s="49" t="str">
        <f>VLOOKUP(Tableau3[[#This Row],[Personne enseignante2]],Feuil_M!$A$3:$B$8,2,FALSE)</f>
        <v>-</v>
      </c>
      <c r="H34" s="295" t="s">
        <v>61</v>
      </c>
      <c r="I34" s="49" t="str">
        <f>VLOOKUP(Tableau3[[#This Row],[Responsable de l’encadrement2]],Feuil_M!$A$3:$B$8,2,FALSE)</f>
        <v>-</v>
      </c>
    </row>
    <row r="35" spans="1:17" ht="18" thickBot="1" x14ac:dyDescent="0.35">
      <c r="A35" s="19" t="s">
        <v>70</v>
      </c>
      <c r="B35" s="295" t="s">
        <v>61</v>
      </c>
      <c r="C35" s="49" t="str">
        <f>VLOOKUP(Tableau3[[#This Row],[Personne enseignante]],Feuil_M!$A$3:$B$8,2,FALSE)</f>
        <v>-</v>
      </c>
      <c r="D35" s="300" t="s">
        <v>61</v>
      </c>
      <c r="E35" s="50" t="str">
        <f>VLOOKUP(Tableau3[[#This Row],[Responsable de l’encadrement]],Feuil_M!$A$3:$B$8,2,FALSE)</f>
        <v>-</v>
      </c>
      <c r="F35" s="301" t="s">
        <v>61</v>
      </c>
      <c r="G35" s="49" t="str">
        <f>VLOOKUP(Tableau3[[#This Row],[Personne enseignante2]],Feuil_M!$A$3:$B$8,2,FALSE)</f>
        <v>-</v>
      </c>
      <c r="H35" s="295" t="s">
        <v>61</v>
      </c>
      <c r="I35" s="49" t="str">
        <f>VLOOKUP(Tableau3[[#This Row],[Responsable de l’encadrement2]],Feuil_M!$A$3:$B$8,2,FALSE)</f>
        <v>-</v>
      </c>
    </row>
    <row r="36" spans="1:17" ht="18" thickBot="1" x14ac:dyDescent="0.35">
      <c r="A36" s="19" t="s">
        <v>71</v>
      </c>
      <c r="B36" s="295" t="s">
        <v>61</v>
      </c>
      <c r="C36" s="49" t="str">
        <f>VLOOKUP(Tableau3[[#This Row],[Personne enseignante]],Feuil_M!$A$3:$B$8,2,FALSE)</f>
        <v>-</v>
      </c>
      <c r="D36" s="300" t="s">
        <v>61</v>
      </c>
      <c r="E36" s="50" t="str">
        <f>VLOOKUP(Tableau3[[#This Row],[Responsable de l’encadrement]],Feuil_M!$A$3:$B$8,2,FALSE)</f>
        <v>-</v>
      </c>
      <c r="F36" s="301" t="s">
        <v>61</v>
      </c>
      <c r="G36" s="49" t="str">
        <f>VLOOKUP(Tableau3[[#This Row],[Personne enseignante2]],Feuil_M!$A$3:$B$8,2,FALSE)</f>
        <v>-</v>
      </c>
      <c r="H36" s="295" t="s">
        <v>61</v>
      </c>
      <c r="I36" s="49" t="str">
        <f>VLOOKUP(Tableau3[[#This Row],[Responsable de l’encadrement2]],Feuil_M!$A$3:$B$8,2,FALSE)</f>
        <v>-</v>
      </c>
    </row>
    <row r="37" spans="1:17" ht="18" thickBot="1" x14ac:dyDescent="0.35">
      <c r="A37" s="19" t="s">
        <v>74</v>
      </c>
      <c r="B37" s="295" t="s">
        <v>61</v>
      </c>
      <c r="C37" s="49" t="str">
        <f>VLOOKUP(Tableau3[[#This Row],[Personne enseignante]],Feuil_M!$A$3:$B$8,2,FALSE)</f>
        <v>-</v>
      </c>
      <c r="D37" s="300" t="s">
        <v>61</v>
      </c>
      <c r="E37" s="50" t="str">
        <f>VLOOKUP(Tableau3[[#This Row],[Responsable de l’encadrement]],Feuil_M!$A$3:$B$8,2,FALSE)</f>
        <v>-</v>
      </c>
      <c r="F37" s="301" t="s">
        <v>61</v>
      </c>
      <c r="G37" s="49" t="str">
        <f>VLOOKUP(Tableau3[[#This Row],[Personne enseignante2]],Feuil_M!$A$3:$B$8,2,FALSE)</f>
        <v>-</v>
      </c>
      <c r="H37" s="295" t="s">
        <v>61</v>
      </c>
      <c r="I37" s="49" t="str">
        <f>VLOOKUP(Tableau3[[#This Row],[Responsable de l’encadrement2]],Feuil_M!$A$3:$B$8,2,FALSE)</f>
        <v>-</v>
      </c>
    </row>
    <row r="38" spans="1:17" ht="18" thickBot="1" x14ac:dyDescent="0.35">
      <c r="A38" s="19" t="s">
        <v>75</v>
      </c>
      <c r="B38" s="295" t="s">
        <v>61</v>
      </c>
      <c r="C38" s="49" t="str">
        <f>VLOOKUP(Tableau3[[#This Row],[Personne enseignante]],Feuil_M!$A$3:$B$8,2,FALSE)</f>
        <v>-</v>
      </c>
      <c r="D38" s="300" t="s">
        <v>61</v>
      </c>
      <c r="E38" s="50" t="str">
        <f>VLOOKUP(Tableau3[[#This Row],[Responsable de l’encadrement]],Feuil_M!$A$3:$B$8,2,FALSE)</f>
        <v>-</v>
      </c>
      <c r="F38" s="301" t="s">
        <v>61</v>
      </c>
      <c r="G38" s="49" t="str">
        <f>VLOOKUP(Tableau3[[#This Row],[Personne enseignante2]],Feuil_M!$A$3:$B$8,2,FALSE)</f>
        <v>-</v>
      </c>
      <c r="H38" s="295" t="s">
        <v>61</v>
      </c>
      <c r="I38" s="49" t="str">
        <f>VLOOKUP(Tableau3[[#This Row],[Responsable de l’encadrement2]],Feuil_M!$A$3:$B$8,2,FALSE)</f>
        <v>-</v>
      </c>
    </row>
    <row r="39" spans="1:17" ht="18" thickBot="1" x14ac:dyDescent="0.35">
      <c r="A39" s="363"/>
      <c r="B39" s="364"/>
      <c r="C39" s="364"/>
      <c r="D39" s="51"/>
      <c r="E39" s="118"/>
      <c r="F39" s="12"/>
      <c r="G39" s="4"/>
      <c r="H39" s="4"/>
      <c r="I39" s="145"/>
    </row>
    <row r="40" spans="1:17" ht="18" customHeight="1" thickBot="1" x14ac:dyDescent="0.35">
      <c r="A40" s="101" t="s">
        <v>211</v>
      </c>
      <c r="B40" s="54"/>
      <c r="C40" s="164" t="str">
        <f>IF(SUBTOTAL(102,Tableau3[Résultats For1])=0,"",SUBTOTAL(101,Tableau3[Résultats For1]))</f>
        <v/>
      </c>
      <c r="D40" s="52"/>
      <c r="E40" s="164" t="str">
        <f>IF(SUBTOTAL(102,Tableau3[Résultats For2])=0,"",SUBTOTAL(101,Tableau3[Résultats For2]))</f>
        <v/>
      </c>
      <c r="F40" s="67" t="s">
        <v>73</v>
      </c>
      <c r="G40" s="164" t="str">
        <f>IF(SUBTOTAL(102,Tableau3[Résultats Som1])=0,"",SUBTOTAL(101,Tableau3[Résultats Som1]))</f>
        <v/>
      </c>
      <c r="H40" s="51"/>
      <c r="I40" s="164" t="str">
        <f>IF(SUBTOTAL(102,Tableau3[Résultats Som2])=0,"",SUBTOTAL(101,Tableau3[Résultats Som2]))</f>
        <v/>
      </c>
    </row>
    <row r="41" spans="1:17" ht="17.399999999999999" customHeight="1" x14ac:dyDescent="0.4">
      <c r="A41" s="368"/>
      <c r="B41" s="368"/>
      <c r="C41" s="368"/>
      <c r="D41" s="368"/>
      <c r="E41" s="368"/>
      <c r="F41" s="368"/>
      <c r="G41" s="1"/>
      <c r="H41" s="1"/>
      <c r="I41" s="1"/>
      <c r="J41" s="1"/>
    </row>
    <row r="42" spans="1:17" ht="45.6" customHeight="1" x14ac:dyDescent="0.4">
      <c r="A42" s="385" t="s">
        <v>228</v>
      </c>
      <c r="B42" s="385"/>
      <c r="C42" s="385"/>
      <c r="D42" s="385"/>
      <c r="E42" s="385"/>
      <c r="F42" s="105"/>
      <c r="G42" s="1"/>
      <c r="H42" s="1"/>
      <c r="I42" s="1"/>
      <c r="J42" s="1"/>
    </row>
    <row r="43" spans="1:17" ht="15" customHeight="1" x14ac:dyDescent="0.25">
      <c r="F43" s="24"/>
      <c r="G43" s="1"/>
      <c r="H43" s="1"/>
      <c r="I43" s="1"/>
      <c r="J43" s="1"/>
    </row>
    <row r="44" spans="1:17" ht="12.6" customHeight="1" thickBot="1" x14ac:dyDescent="0.35">
      <c r="D44" s="369" t="s">
        <v>212</v>
      </c>
      <c r="E44" s="369"/>
      <c r="F44" s="369"/>
      <c r="G44" s="369"/>
      <c r="I44" s="353" t="s">
        <v>213</v>
      </c>
      <c r="J44" s="353"/>
      <c r="M44" s="103" t="s">
        <v>72</v>
      </c>
      <c r="N44" s="103"/>
      <c r="O44" s="103"/>
      <c r="Q44" s="103"/>
    </row>
    <row r="45" spans="1:17" ht="171" customHeight="1" thickBot="1" x14ac:dyDescent="0.3">
      <c r="C45" s="29"/>
      <c r="D45" s="350" t="s">
        <v>214</v>
      </c>
      <c r="E45" s="351"/>
      <c r="F45" s="351"/>
      <c r="G45" s="352"/>
      <c r="I45" s="350" t="s">
        <v>214</v>
      </c>
      <c r="J45" s="351"/>
      <c r="K45" s="352"/>
      <c r="L45" s="44"/>
      <c r="M45" s="354" t="s">
        <v>215</v>
      </c>
      <c r="N45" s="355"/>
    </row>
    <row r="46" spans="1:17" ht="13.95" customHeight="1" x14ac:dyDescent="0.25">
      <c r="D46" t="s">
        <v>216</v>
      </c>
      <c r="F46">
        <f>LEN(TRIM(D45))-LEN(SUBSTITUTE(D45," ",""))+1</f>
        <v>7</v>
      </c>
      <c r="I46" t="s">
        <v>216</v>
      </c>
      <c r="J46">
        <f>LEN(TRIM(I45))-LEN(SUBSTITUTE(I45," ",""))+1</f>
        <v>7</v>
      </c>
      <c r="M46" s="42" t="s">
        <v>216</v>
      </c>
      <c r="N46">
        <f>LEN(TRIM(M45))-LEN(SUBSTITUTE(M45," ",""))+1</f>
        <v>8</v>
      </c>
    </row>
    <row r="47" spans="1:17" x14ac:dyDescent="0.25">
      <c r="E47" s="16"/>
      <c r="G47" s="16"/>
      <c r="I47" s="1"/>
      <c r="J47" s="1"/>
    </row>
    <row r="48" spans="1:17" ht="16.2" customHeight="1" thickBot="1" x14ac:dyDescent="0.35">
      <c r="D48" s="369" t="s">
        <v>212</v>
      </c>
      <c r="E48" s="369"/>
      <c r="F48" s="369"/>
      <c r="G48" s="369"/>
      <c r="I48" s="353" t="s">
        <v>213</v>
      </c>
      <c r="J48" s="353"/>
      <c r="K48" s="43"/>
      <c r="L48" s="43"/>
      <c r="M48" s="103" t="s">
        <v>72</v>
      </c>
      <c r="N48" s="103"/>
    </row>
    <row r="49" spans="3:14" ht="156" customHeight="1" thickBot="1" x14ac:dyDescent="0.3">
      <c r="D49" s="350" t="s">
        <v>214</v>
      </c>
      <c r="E49" s="351"/>
      <c r="F49" s="351"/>
      <c r="G49" s="352"/>
      <c r="I49" s="350" t="s">
        <v>214</v>
      </c>
      <c r="J49" s="351"/>
      <c r="K49" s="352"/>
      <c r="L49" s="44"/>
      <c r="M49" s="354" t="s">
        <v>215</v>
      </c>
      <c r="N49" s="355"/>
    </row>
    <row r="50" spans="3:14" ht="19.95" customHeight="1" x14ac:dyDescent="0.25">
      <c r="D50" t="s">
        <v>216</v>
      </c>
      <c r="F50">
        <f>LEN(TRIM(D49))-LEN(SUBSTITUTE(D49," ",""))+1</f>
        <v>7</v>
      </c>
      <c r="I50" t="s">
        <v>216</v>
      </c>
      <c r="J50">
        <f>LEN(TRIM(I49))-LEN(SUBSTITUTE(I49," ",""))+1</f>
        <v>7</v>
      </c>
      <c r="M50" s="42" t="s">
        <v>216</v>
      </c>
      <c r="N50">
        <f>LEN(TRIM(M49))-LEN(SUBSTITUTE(M49," ",""))+1</f>
        <v>8</v>
      </c>
    </row>
    <row r="52" spans="3:14" ht="19.95" customHeight="1" thickBot="1" x14ac:dyDescent="0.35">
      <c r="D52" s="353" t="s">
        <v>212</v>
      </c>
      <c r="E52" s="353"/>
      <c r="F52" s="353"/>
      <c r="G52" s="353"/>
      <c r="I52" s="353" t="s">
        <v>226</v>
      </c>
      <c r="J52" s="353"/>
      <c r="K52" s="43"/>
      <c r="L52" s="43"/>
      <c r="M52" s="103" t="s">
        <v>72</v>
      </c>
      <c r="N52" s="103"/>
    </row>
    <row r="53" spans="3:14" ht="159.44999999999999" customHeight="1" thickBot="1" x14ac:dyDescent="0.3">
      <c r="D53" s="350" t="s">
        <v>214</v>
      </c>
      <c r="E53" s="351"/>
      <c r="F53" s="351"/>
      <c r="G53" s="352"/>
      <c r="I53" s="350" t="s">
        <v>214</v>
      </c>
      <c r="J53" s="351"/>
      <c r="K53" s="352"/>
      <c r="L53" s="44"/>
      <c r="M53" s="354" t="s">
        <v>215</v>
      </c>
      <c r="N53" s="355"/>
    </row>
    <row r="54" spans="3:14" ht="13.95" customHeight="1" x14ac:dyDescent="0.25">
      <c r="D54" t="s">
        <v>216</v>
      </c>
      <c r="F54">
        <f>LEN(TRIM(D53))-LEN(SUBSTITUTE(D53," ",""))+1</f>
        <v>7</v>
      </c>
      <c r="I54" t="s">
        <v>216</v>
      </c>
      <c r="J54">
        <f>LEN(TRIM(I53))-LEN(SUBSTITUTE(I53," ",""))+1</f>
        <v>7</v>
      </c>
      <c r="M54" s="42" t="s">
        <v>216</v>
      </c>
      <c r="N54">
        <f>LEN(TRIM(M53))-LEN(SUBSTITUTE(M53," ",""))+1</f>
        <v>8</v>
      </c>
    </row>
    <row r="55" spans="3:14" ht="17.7" customHeight="1" x14ac:dyDescent="0.25">
      <c r="E55" s="16"/>
      <c r="G55" s="16"/>
      <c r="I55" s="1"/>
      <c r="J55" s="1"/>
    </row>
    <row r="56" spans="3:14" ht="15.45" customHeight="1" thickBot="1" x14ac:dyDescent="0.35">
      <c r="D56" s="353" t="s">
        <v>212</v>
      </c>
      <c r="E56" s="353"/>
      <c r="F56" s="353"/>
      <c r="G56" s="353"/>
      <c r="I56" s="353" t="s">
        <v>226</v>
      </c>
      <c r="J56" s="353"/>
      <c r="K56" s="43"/>
      <c r="L56" s="43"/>
      <c r="M56" s="103" t="s">
        <v>72</v>
      </c>
      <c r="N56" s="103"/>
    </row>
    <row r="57" spans="3:14" ht="158.69999999999999" customHeight="1" thickBot="1" x14ac:dyDescent="0.3">
      <c r="D57" s="350" t="s">
        <v>214</v>
      </c>
      <c r="E57" s="351"/>
      <c r="F57" s="351"/>
      <c r="G57" s="352"/>
      <c r="I57" s="350" t="s">
        <v>214</v>
      </c>
      <c r="J57" s="351"/>
      <c r="K57" s="352"/>
      <c r="L57" s="44"/>
      <c r="M57" s="354" t="s">
        <v>215</v>
      </c>
      <c r="N57" s="355"/>
    </row>
    <row r="58" spans="3:14" ht="19.95" customHeight="1" x14ac:dyDescent="0.25">
      <c r="D58" t="s">
        <v>216</v>
      </c>
      <c r="F58">
        <f>LEN(TRIM(D57))-LEN(SUBSTITUTE(D57," ",""))+1</f>
        <v>7</v>
      </c>
      <c r="I58" t="s">
        <v>216</v>
      </c>
      <c r="J58">
        <f>LEN(TRIM(I57))-LEN(SUBSTITUTE(I57," ",""))+1</f>
        <v>7</v>
      </c>
      <c r="M58" s="42" t="s">
        <v>216</v>
      </c>
      <c r="N58">
        <f>LEN(TRIM(M57))-LEN(SUBSTITUTE(M57," ",""))+1</f>
        <v>8</v>
      </c>
    </row>
    <row r="60" spans="3:14" ht="15.45" customHeight="1" thickBot="1" x14ac:dyDescent="0.35">
      <c r="D60" s="353" t="s">
        <v>212</v>
      </c>
      <c r="E60" s="353"/>
      <c r="F60" s="353"/>
      <c r="G60" s="353"/>
      <c r="I60" s="353" t="s">
        <v>226</v>
      </c>
      <c r="J60" s="353"/>
      <c r="K60" s="43"/>
      <c r="M60" s="103" t="s">
        <v>72</v>
      </c>
      <c r="N60" s="103"/>
    </row>
    <row r="61" spans="3:14" ht="153.44999999999999" customHeight="1" thickBot="1" x14ac:dyDescent="0.3">
      <c r="C61" s="44"/>
      <c r="D61" s="350" t="s">
        <v>214</v>
      </c>
      <c r="E61" s="351"/>
      <c r="F61" s="351"/>
      <c r="G61" s="352"/>
      <c r="I61" s="350" t="s">
        <v>214</v>
      </c>
      <c r="J61" s="351"/>
      <c r="K61" s="352"/>
      <c r="M61" s="354" t="s">
        <v>215</v>
      </c>
      <c r="N61" s="355"/>
    </row>
    <row r="62" spans="3:14" ht="19.95" customHeight="1" x14ac:dyDescent="0.25">
      <c r="D62" t="s">
        <v>216</v>
      </c>
      <c r="F62">
        <f>LEN(TRIM(D61))-LEN(SUBSTITUTE(D61," ",""))+1</f>
        <v>7</v>
      </c>
      <c r="I62" t="s">
        <v>216</v>
      </c>
      <c r="J62">
        <f>LEN(TRIM(I61))-LEN(SUBSTITUTE(I61," ",""))+1</f>
        <v>7</v>
      </c>
      <c r="M62" s="42" t="s">
        <v>216</v>
      </c>
      <c r="N62">
        <f>LEN(TRIM(M61))-LEN(SUBSTITUTE(M61," ",""))+1</f>
        <v>8</v>
      </c>
    </row>
    <row r="63" spans="3:14" x14ac:dyDescent="0.25">
      <c r="H63" s="1"/>
      <c r="I63" s="1"/>
    </row>
    <row r="64" spans="3:14" ht="15.6" x14ac:dyDescent="0.3">
      <c r="K64" s="43"/>
    </row>
    <row r="65" spans="4:14" ht="16.2" thickBot="1" x14ac:dyDescent="0.35">
      <c r="D65" s="353" t="s">
        <v>212</v>
      </c>
      <c r="E65" s="353"/>
      <c r="F65" s="353"/>
      <c r="G65" s="353"/>
      <c r="I65" s="353" t="s">
        <v>226</v>
      </c>
      <c r="J65" s="353"/>
      <c r="K65" s="43"/>
      <c r="M65" s="103" t="s">
        <v>72</v>
      </c>
      <c r="N65" s="103"/>
    </row>
    <row r="66" spans="4:14" ht="162" customHeight="1" thickBot="1" x14ac:dyDescent="0.3">
      <c r="D66" s="350" t="s">
        <v>214</v>
      </c>
      <c r="E66" s="351"/>
      <c r="F66" s="351"/>
      <c r="G66" s="352"/>
      <c r="H66" s="96"/>
      <c r="I66" s="350" t="s">
        <v>214</v>
      </c>
      <c r="J66" s="351"/>
      <c r="K66" s="352"/>
      <c r="M66" s="354" t="s">
        <v>215</v>
      </c>
      <c r="N66" s="355"/>
    </row>
    <row r="67" spans="4:14" x14ac:dyDescent="0.25">
      <c r="D67" t="s">
        <v>216</v>
      </c>
      <c r="E67" t="s">
        <v>216</v>
      </c>
      <c r="F67">
        <f>LEN(TRIM(D66))-LEN(SUBSTITUTE(D66," ",""))+1</f>
        <v>7</v>
      </c>
      <c r="I67" t="s">
        <v>216</v>
      </c>
      <c r="J67">
        <f>LEN(TRIM(I66))-LEN(SUBSTITUTE(I66," ",""))+1</f>
        <v>7</v>
      </c>
      <c r="M67" s="42" t="s">
        <v>216</v>
      </c>
      <c r="N67">
        <f>LEN(TRIM(M66))-LEN(SUBSTITUTE(M66," ",""))+1</f>
        <v>8</v>
      </c>
    </row>
    <row r="70" spans="4:14" ht="16.2" thickBot="1" x14ac:dyDescent="0.35">
      <c r="D70" s="353" t="s">
        <v>212</v>
      </c>
      <c r="E70" s="353"/>
      <c r="F70" s="353"/>
      <c r="G70" s="353"/>
      <c r="I70" s="353" t="s">
        <v>226</v>
      </c>
      <c r="J70" s="353"/>
      <c r="K70" s="43"/>
      <c r="M70" s="103" t="s">
        <v>72</v>
      </c>
      <c r="N70" s="103"/>
    </row>
    <row r="71" spans="4:14" ht="165" customHeight="1" thickBot="1" x14ac:dyDescent="0.3">
      <c r="D71" s="350" t="s">
        <v>214</v>
      </c>
      <c r="E71" s="351"/>
      <c r="F71" s="351"/>
      <c r="G71" s="352"/>
      <c r="H71" s="96"/>
      <c r="I71" s="350" t="s">
        <v>214</v>
      </c>
      <c r="J71" s="351"/>
      <c r="K71" s="352"/>
      <c r="M71" s="354" t="s">
        <v>215</v>
      </c>
      <c r="N71" s="355"/>
    </row>
    <row r="72" spans="4:14" x14ac:dyDescent="0.25">
      <c r="D72" t="s">
        <v>216</v>
      </c>
      <c r="E72" t="s">
        <v>216</v>
      </c>
      <c r="F72">
        <f>LEN(TRIM(D71))-LEN(SUBSTITUTE(D71," ",""))+1</f>
        <v>7</v>
      </c>
      <c r="I72" t="s">
        <v>216</v>
      </c>
      <c r="J72">
        <f>LEN(TRIM(I71))-LEN(SUBSTITUTE(I71," ",""))+1</f>
        <v>7</v>
      </c>
      <c r="M72" s="42" t="s">
        <v>216</v>
      </c>
      <c r="N72">
        <f>LEN(TRIM(M71))-LEN(SUBSTITUTE(M71," ",""))+1</f>
        <v>8</v>
      </c>
    </row>
    <row r="75" spans="4:14" ht="16.2" thickBot="1" x14ac:dyDescent="0.35">
      <c r="D75" s="353" t="s">
        <v>212</v>
      </c>
      <c r="E75" s="353"/>
      <c r="F75" s="353"/>
      <c r="G75" s="353"/>
      <c r="I75" s="353" t="s">
        <v>226</v>
      </c>
      <c r="J75" s="353"/>
      <c r="K75" s="43"/>
      <c r="M75" s="103" t="s">
        <v>72</v>
      </c>
      <c r="N75" s="103"/>
    </row>
    <row r="76" spans="4:14" ht="163.19999999999999" customHeight="1" thickBot="1" x14ac:dyDescent="0.3">
      <c r="D76" s="350" t="s">
        <v>214</v>
      </c>
      <c r="E76" s="351"/>
      <c r="F76" s="351"/>
      <c r="G76" s="352"/>
      <c r="H76" s="96"/>
      <c r="I76" s="350" t="s">
        <v>214</v>
      </c>
      <c r="J76" s="351"/>
      <c r="K76" s="352"/>
      <c r="M76" s="354" t="s">
        <v>215</v>
      </c>
      <c r="N76" s="355"/>
    </row>
    <row r="77" spans="4:14" x14ac:dyDescent="0.25">
      <c r="D77" t="s">
        <v>216</v>
      </c>
      <c r="E77" t="s">
        <v>216</v>
      </c>
      <c r="F77">
        <f>LEN(TRIM(D76))-LEN(SUBSTITUTE(D76," ",""))+1</f>
        <v>7</v>
      </c>
      <c r="I77" t="s">
        <v>216</v>
      </c>
      <c r="J77">
        <f>LEN(TRIM(I76))-LEN(SUBSTITUTE(I76," ",""))+1</f>
        <v>7</v>
      </c>
      <c r="M77" s="42" t="s">
        <v>216</v>
      </c>
      <c r="N77">
        <f>LEN(TRIM(M76))-LEN(SUBSTITUTE(M76," ",""))+1</f>
        <v>8</v>
      </c>
    </row>
    <row r="80" spans="4:14" ht="16.2" thickBot="1" x14ac:dyDescent="0.35">
      <c r="D80" s="353" t="s">
        <v>212</v>
      </c>
      <c r="E80" s="353"/>
      <c r="F80" s="353"/>
      <c r="G80" s="353"/>
      <c r="I80" s="353" t="s">
        <v>226</v>
      </c>
      <c r="J80" s="353"/>
      <c r="K80" s="43"/>
      <c r="M80" s="103" t="s">
        <v>72</v>
      </c>
      <c r="N80" s="103"/>
    </row>
    <row r="81" spans="1:14" ht="178.2" customHeight="1" thickBot="1" x14ac:dyDescent="0.3">
      <c r="D81" s="350" t="s">
        <v>214</v>
      </c>
      <c r="E81" s="351"/>
      <c r="F81" s="351"/>
      <c r="G81" s="352"/>
      <c r="H81" s="96"/>
      <c r="I81" s="350" t="s">
        <v>214</v>
      </c>
      <c r="J81" s="351"/>
      <c r="K81" s="352"/>
      <c r="M81" s="354" t="s">
        <v>215</v>
      </c>
      <c r="N81" s="355"/>
    </row>
    <row r="82" spans="1:14" x14ac:dyDescent="0.25">
      <c r="D82" t="s">
        <v>216</v>
      </c>
      <c r="E82" t="s">
        <v>216</v>
      </c>
      <c r="F82">
        <f>LEN(TRIM(D81))-LEN(SUBSTITUTE(D81," ",""))+1</f>
        <v>7</v>
      </c>
      <c r="I82" t="s">
        <v>216</v>
      </c>
      <c r="J82">
        <f>LEN(TRIM(I81))-LEN(SUBSTITUTE(I81," ",""))+1</f>
        <v>7</v>
      </c>
      <c r="M82" s="42" t="s">
        <v>216</v>
      </c>
      <c r="N82">
        <f>LEN(TRIM(M81))-LEN(SUBSTITUTE(M81," ",""))+1</f>
        <v>8</v>
      </c>
    </row>
    <row r="85" spans="1:14" ht="16.2" thickBot="1" x14ac:dyDescent="0.35">
      <c r="D85" s="353" t="s">
        <v>212</v>
      </c>
      <c r="E85" s="353"/>
      <c r="F85" s="353"/>
      <c r="G85" s="353"/>
      <c r="I85" s="353" t="s">
        <v>226</v>
      </c>
      <c r="J85" s="353"/>
      <c r="K85" s="43"/>
      <c r="M85" s="103" t="s">
        <v>72</v>
      </c>
      <c r="N85" s="103"/>
    </row>
    <row r="86" spans="1:14" ht="183.45" customHeight="1" thickBot="1" x14ac:dyDescent="0.3">
      <c r="D86" s="350" t="s">
        <v>214</v>
      </c>
      <c r="E86" s="351"/>
      <c r="F86" s="351"/>
      <c r="G86" s="352"/>
      <c r="H86" s="96"/>
      <c r="I86" s="350" t="s">
        <v>214</v>
      </c>
      <c r="J86" s="351"/>
      <c r="K86" s="352"/>
      <c r="M86" s="354" t="s">
        <v>215</v>
      </c>
      <c r="N86" s="355"/>
    </row>
    <row r="87" spans="1:14" x14ac:dyDescent="0.25">
      <c r="A87" s="173"/>
      <c r="D87" t="s">
        <v>216</v>
      </c>
      <c r="E87" t="s">
        <v>216</v>
      </c>
      <c r="F87">
        <f>LEN(TRIM(D86))-LEN(SUBSTITUTE(D86," ",""))+1</f>
        <v>7</v>
      </c>
      <c r="I87" t="s">
        <v>216</v>
      </c>
      <c r="J87">
        <f>LEN(TRIM(I86))-LEN(SUBSTITUTE(I86," ",""))+1</f>
        <v>7</v>
      </c>
      <c r="M87" s="42" t="s">
        <v>216</v>
      </c>
      <c r="N87">
        <f>LEN(TRIM(M86))-LEN(SUBSTITUTE(M86," ",""))+1</f>
        <v>8</v>
      </c>
    </row>
    <row r="89" spans="1:14" x14ac:dyDescent="0.25">
      <c r="A89" s="174"/>
    </row>
    <row r="91" spans="1:14" x14ac:dyDescent="0.25">
      <c r="A91" s="178"/>
      <c r="B91" s="177"/>
    </row>
    <row r="93" spans="1:14" x14ac:dyDescent="0.25">
      <c r="B93" s="174"/>
    </row>
  </sheetData>
  <sheetProtection algorithmName="SHA-512" hashValue="zSDQgy8tZX4vv1stLpt/heY+REXER9bj+zYqM9cydSs0gkBE7hhMsI8npuUG1bzEp2cObxefdfIJOEaCG2r4+w==" saltValue="Nu9ZXEBuaQmkZOSTn7lW/A==" spinCount="100000" sheet="1" objects="1" scenarios="1" selectLockedCells="1"/>
  <mergeCells count="60">
    <mergeCell ref="I86:K86"/>
    <mergeCell ref="D53:G53"/>
    <mergeCell ref="D57:G57"/>
    <mergeCell ref="D56:G56"/>
    <mergeCell ref="D60:G60"/>
    <mergeCell ref="D61:G61"/>
    <mergeCell ref="D86:G86"/>
    <mergeCell ref="D75:G75"/>
    <mergeCell ref="D76:G76"/>
    <mergeCell ref="D81:G81"/>
    <mergeCell ref="D80:G80"/>
    <mergeCell ref="D65:G65"/>
    <mergeCell ref="D66:G66"/>
    <mergeCell ref="D70:G70"/>
    <mergeCell ref="D71:G71"/>
    <mergeCell ref="D85:G85"/>
    <mergeCell ref="D49:G49"/>
    <mergeCell ref="D52:G52"/>
    <mergeCell ref="I45:K45"/>
    <mergeCell ref="I49:K49"/>
    <mergeCell ref="I53:K53"/>
    <mergeCell ref="I65:J65"/>
    <mergeCell ref="M49:N49"/>
    <mergeCell ref="M53:N53"/>
    <mergeCell ref="M57:N57"/>
    <mergeCell ref="M61:N61"/>
    <mergeCell ref="I57:K57"/>
    <mergeCell ref="I61:K61"/>
    <mergeCell ref="I66:K66"/>
    <mergeCell ref="I70:J70"/>
    <mergeCell ref="I71:K71"/>
    <mergeCell ref="I75:J75"/>
    <mergeCell ref="I76:K76"/>
    <mergeCell ref="I80:J80"/>
    <mergeCell ref="I81:K81"/>
    <mergeCell ref="I85:J85"/>
    <mergeCell ref="B2:F2"/>
    <mergeCell ref="A41:F41"/>
    <mergeCell ref="A42:E42"/>
    <mergeCell ref="A25:D25"/>
    <mergeCell ref="E26:G26"/>
    <mergeCell ref="A39:C39"/>
    <mergeCell ref="A27:E27"/>
    <mergeCell ref="F27:I27"/>
    <mergeCell ref="I52:J52"/>
    <mergeCell ref="I56:J56"/>
    <mergeCell ref="I60:J60"/>
    <mergeCell ref="A14:D14"/>
    <mergeCell ref="A24:F24"/>
    <mergeCell ref="D44:G44"/>
    <mergeCell ref="D48:G48"/>
    <mergeCell ref="M45:N45"/>
    <mergeCell ref="I44:J44"/>
    <mergeCell ref="I48:J48"/>
    <mergeCell ref="D45:G45"/>
    <mergeCell ref="M66:N66"/>
    <mergeCell ref="M71:N71"/>
    <mergeCell ref="M76:N76"/>
    <mergeCell ref="M81:N81"/>
    <mergeCell ref="M86:N86"/>
  </mergeCells>
  <dataValidations count="3">
    <dataValidation type="custom" allowBlank="1" showInputMessage="1" showErrorMessage="1" error="Le nombre de mots de cette zone de commentaire semble être supérieure à 150" sqref="I86 I66 I53 I71 I61 I76 I57 I81" xr:uid="{761B274A-DB44-4074-9864-BCE4CFC14C01}">
      <formula1>LEN(TRIM(I53))-LEN(SUBSTITUTE(I53," ",""))+1&lt;=150</formula1>
    </dataValidation>
    <dataValidation type="custom" allowBlank="1" showErrorMessage="1" error="Le nombre de mots de cette zone de commentaire semble être supérieur à 150." sqref="C61" xr:uid="{DE9B051D-AF93-4664-8FE4-CDCD430F8A9A}">
      <formula1>LEN(TRIM(C61))-LEN(SUBSTITUTE(C61," ",""))+1&lt;=150</formula1>
    </dataValidation>
    <dataValidation type="custom" allowBlank="1" showErrorMessage="1" error="Le nombre de mots de cette zone de commentaire semble être supérieur à 150" sqref="D45:G45 M86:N86 M81:N81 M76:N76 M71:N71 M66:N66 M61:N61 M57:N57 M53:N53 M49:N49 M45:N45 I49:K49 I45:K45 D86:G86 D81:G81 D76:G76 D71:G71 D66:G66 D61:G61 D57:G57 D53:G53 D49:G49" xr:uid="{779ED3F4-16A2-4E36-A7C3-1E3C9BF5A80E}">
      <formula1>LEN(TRIM(D45))-LEN(SUBSTITUTE(D45," ",""))+1&lt;=150</formula1>
    </dataValidation>
  </dataValidations>
  <pageMargins left="0.7" right="0.7" top="0.75" bottom="0.75" header="0.3" footer="0.3"/>
  <pageSetup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2469EAD5-8C99-4CA0-BFCB-E915E95A6C95}">
          <x14:formula1>
            <xm:f>Feuil_M!$A$3:$A$8</xm:f>
          </x14:formula1>
          <xm:sqref>F29:F38 D29:D38 B29:B38 H29:H38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B3D88-DECD-4048-B6FE-8B6ECAF06FBC}">
  <sheetPr codeName="Feuil5">
    <tabColor rgb="FFC1C2DA"/>
  </sheetPr>
  <dimension ref="A1:N70"/>
  <sheetViews>
    <sheetView showGridLines="0" showRowColHeaders="0" zoomScale="65" zoomScaleNormal="65" workbookViewId="0">
      <selection activeCell="B29" sqref="B29"/>
    </sheetView>
  </sheetViews>
  <sheetFormatPr baseColWidth="10" defaultColWidth="11" defaultRowHeight="13.8" x14ac:dyDescent="0.25"/>
  <cols>
    <col min="1" max="1" width="26.69921875" customWidth="1"/>
    <col min="2" max="2" width="27.69921875" customWidth="1"/>
    <col min="3" max="3" width="13" hidden="1" customWidth="1"/>
    <col min="4" max="4" width="27.69921875" customWidth="1"/>
    <col min="5" max="5" width="29.69921875" hidden="1" customWidth="1"/>
    <col min="6" max="7" width="27.69921875" customWidth="1"/>
    <col min="8" max="8" width="32.69921875" customWidth="1"/>
    <col min="9" max="11" width="30.69921875" customWidth="1"/>
    <col min="12" max="12" width="15.69921875" customWidth="1"/>
    <col min="13" max="14" width="40.69921875" customWidth="1"/>
    <col min="17" max="17" width="15.19921875" customWidth="1"/>
  </cols>
  <sheetData>
    <row r="1" spans="1:8" ht="21" customHeight="1" x14ac:dyDescent="0.25">
      <c r="A1" s="9" t="s">
        <v>76</v>
      </c>
    </row>
    <row r="2" spans="1:8" ht="22.2" customHeight="1" x14ac:dyDescent="0.25">
      <c r="A2" s="9"/>
      <c r="B2" s="373" t="s">
        <v>0</v>
      </c>
      <c r="C2" s="373"/>
      <c r="D2" s="373"/>
      <c r="E2" s="373"/>
      <c r="F2" s="373"/>
    </row>
    <row r="3" spans="1:8" ht="21.45" customHeight="1" x14ac:dyDescent="0.25">
      <c r="A3" s="9"/>
    </row>
    <row r="13" spans="1:8" ht="13.95" customHeight="1" x14ac:dyDescent="0.25"/>
    <row r="14" spans="1:8" ht="22.95" customHeight="1" x14ac:dyDescent="0.4">
      <c r="A14" s="361" t="s">
        <v>193</v>
      </c>
      <c r="B14" s="314"/>
      <c r="C14" s="314"/>
      <c r="D14" s="314"/>
    </row>
    <row r="15" spans="1:8" ht="14.4" customHeight="1" thickBot="1" x14ac:dyDescent="0.3"/>
    <row r="16" spans="1:8" ht="31.95" customHeight="1" x14ac:dyDescent="0.3">
      <c r="A16" s="39" t="s">
        <v>6</v>
      </c>
      <c r="B16" s="39" t="s">
        <v>47</v>
      </c>
      <c r="C16" s="87"/>
      <c r="D16" s="39" t="s">
        <v>7</v>
      </c>
      <c r="F16" s="39" t="s">
        <v>8</v>
      </c>
      <c r="G16" s="39" t="s">
        <v>9</v>
      </c>
      <c r="H16" s="39" t="s">
        <v>10</v>
      </c>
    </row>
    <row r="17" spans="1:11" ht="31.95" customHeight="1" thickBot="1" x14ac:dyDescent="0.3">
      <c r="A17" s="47" t="s">
        <v>195</v>
      </c>
      <c r="B17" s="277" t="s">
        <v>11</v>
      </c>
      <c r="C17" s="278"/>
      <c r="D17" s="277" t="s">
        <v>12</v>
      </c>
      <c r="E17" s="276"/>
      <c r="F17" s="277" t="s">
        <v>13</v>
      </c>
      <c r="G17" s="277" t="s">
        <v>14</v>
      </c>
      <c r="H17" s="277" t="s">
        <v>15</v>
      </c>
    </row>
    <row r="18" spans="1:11" ht="31.95" customHeight="1" thickBot="1" x14ac:dyDescent="0.3">
      <c r="A18" s="47" t="s">
        <v>16</v>
      </c>
      <c r="B18" s="284" t="s">
        <v>200</v>
      </c>
      <c r="C18" s="283"/>
      <c r="D18" s="284" t="s">
        <v>201</v>
      </c>
      <c r="E18" s="276"/>
      <c r="F18" s="280" t="s">
        <v>17</v>
      </c>
      <c r="G18" s="280" t="s">
        <v>18</v>
      </c>
      <c r="H18" s="280" t="s">
        <v>19</v>
      </c>
    </row>
    <row r="19" spans="1:11" ht="31.95" customHeight="1" thickBot="1" x14ac:dyDescent="0.3">
      <c r="A19" s="88" t="s">
        <v>20</v>
      </c>
      <c r="B19" s="281" t="s">
        <v>21</v>
      </c>
      <c r="C19" s="282"/>
      <c r="D19" s="281" t="s">
        <v>187</v>
      </c>
      <c r="E19" s="276"/>
      <c r="F19" s="281" t="s">
        <v>188</v>
      </c>
      <c r="G19" s="281" t="s">
        <v>194</v>
      </c>
      <c r="H19" s="281" t="s">
        <v>22</v>
      </c>
    </row>
    <row r="20" spans="1:11" ht="13.95" customHeight="1" x14ac:dyDescent="0.25"/>
    <row r="23" spans="1:11" ht="13.95" customHeight="1" x14ac:dyDescent="0.25"/>
    <row r="24" spans="1:11" ht="22.95" customHeight="1" x14ac:dyDescent="0.4">
      <c r="A24" s="368" t="s">
        <v>206</v>
      </c>
      <c r="B24" s="368"/>
      <c r="C24" s="368"/>
      <c r="D24" s="368"/>
      <c r="E24" s="368"/>
      <c r="F24" s="368"/>
      <c r="G24" s="2"/>
      <c r="I24" s="1"/>
      <c r="J24" s="1"/>
      <c r="K24" s="1"/>
    </row>
    <row r="25" spans="1:11" ht="19.2" customHeight="1" x14ac:dyDescent="0.3">
      <c r="A25" s="367" t="s">
        <v>48</v>
      </c>
      <c r="B25" s="367"/>
      <c r="C25" s="367"/>
      <c r="D25" s="367"/>
      <c r="I25" s="1"/>
      <c r="J25" s="1"/>
      <c r="K25" s="1"/>
    </row>
    <row r="26" spans="1:11" ht="15.6" thickBot="1" x14ac:dyDescent="0.3">
      <c r="E26" s="366"/>
      <c r="F26" s="366"/>
      <c r="G26" s="366"/>
      <c r="I26" s="1"/>
      <c r="J26" s="1"/>
      <c r="K26" s="1"/>
    </row>
    <row r="27" spans="1:11" ht="22.2" customHeight="1" thickBot="1" x14ac:dyDescent="0.45">
      <c r="A27" s="362" t="s">
        <v>49</v>
      </c>
      <c r="B27" s="390"/>
      <c r="C27" s="390"/>
      <c r="D27" s="390"/>
      <c r="E27" s="390"/>
      <c r="F27" s="391" t="s">
        <v>50</v>
      </c>
      <c r="G27" s="390"/>
      <c r="H27" s="390"/>
      <c r="I27" s="392"/>
      <c r="J27" s="1"/>
      <c r="K27" s="1"/>
    </row>
    <row r="28" spans="1:11" ht="34.950000000000003" customHeight="1" thickBot="1" x14ac:dyDescent="0.35">
      <c r="A28" s="146" t="s">
        <v>227</v>
      </c>
      <c r="B28" s="38" t="s">
        <v>51</v>
      </c>
      <c r="C28" s="112" t="s">
        <v>52</v>
      </c>
      <c r="D28" s="147" t="s">
        <v>191</v>
      </c>
      <c r="E28" s="148" t="s">
        <v>53</v>
      </c>
      <c r="F28" s="129" t="s">
        <v>54</v>
      </c>
      <c r="G28" s="112" t="s">
        <v>55</v>
      </c>
      <c r="H28" s="13" t="s">
        <v>209</v>
      </c>
      <c r="I28" s="112" t="s">
        <v>56</v>
      </c>
      <c r="J28" t="s">
        <v>57</v>
      </c>
    </row>
    <row r="29" spans="1:11" ht="18" thickBot="1" x14ac:dyDescent="0.35">
      <c r="A29" s="140" t="s">
        <v>58</v>
      </c>
      <c r="B29" s="297" t="s">
        <v>61</v>
      </c>
      <c r="C29" s="60" t="str">
        <f>VLOOKUP(Tableau4[[#This Row],[Personne enseignante]],Feuil_M!$A$3:$B$8,2,FALSE)</f>
        <v>-</v>
      </c>
      <c r="D29" s="302" t="s">
        <v>61</v>
      </c>
      <c r="E29" s="141" t="str">
        <f>VLOOKUP(Tableau4[[#This Row],[Responsable de l’encadrement]],Feuil_M!$A$3:$B$8,2,FALSE)</f>
        <v>-</v>
      </c>
      <c r="F29" s="301" t="s">
        <v>61</v>
      </c>
      <c r="G29" s="60" t="str">
        <f>VLOOKUP(Tableau4[[#This Row],[Personne enseignante2]],Feuil_M!$A$3:$B$8,2,FALSE)</f>
        <v>-</v>
      </c>
      <c r="H29" s="297" t="s">
        <v>61</v>
      </c>
      <c r="I29" s="141" t="str">
        <f>VLOOKUP(Tableau4[[#This Row],[Responsable de l’encadrement2]],Feuil_M!$A$3:$B$8,2,FALSE)</f>
        <v>-</v>
      </c>
    </row>
    <row r="30" spans="1:11" ht="18" thickBot="1" x14ac:dyDescent="0.35">
      <c r="A30" s="19" t="s">
        <v>62</v>
      </c>
      <c r="B30" s="297" t="s">
        <v>61</v>
      </c>
      <c r="C30" s="49" t="str">
        <f>VLOOKUP(Tableau4[[#This Row],[Personne enseignante]],Feuil_M!$A$3:$B$8,2,FALSE)</f>
        <v>-</v>
      </c>
      <c r="D30" s="302" t="s">
        <v>61</v>
      </c>
      <c r="E30" s="50" t="str">
        <f>VLOOKUP(Tableau4[[#This Row],[Responsable de l’encadrement]],Feuil_M!$A$3:$B$8,2,FALSE)</f>
        <v>-</v>
      </c>
      <c r="F30" s="303" t="s">
        <v>61</v>
      </c>
      <c r="G30" s="49" t="str">
        <f>VLOOKUP(Tableau4[[#This Row],[Personne enseignante2]],Feuil_M!$A$3:$B$8,2,FALSE)</f>
        <v>-</v>
      </c>
      <c r="H30" s="295" t="s">
        <v>61</v>
      </c>
      <c r="I30" s="50" t="str">
        <f>VLOOKUP(Tableau4[[#This Row],[Responsable de l’encadrement2]],Feuil_M!$A$3:$B$8,2,FALSE)</f>
        <v>-</v>
      </c>
    </row>
    <row r="31" spans="1:11" ht="18" thickBot="1" x14ac:dyDescent="0.35">
      <c r="A31" s="19" t="s">
        <v>64</v>
      </c>
      <c r="B31" s="297" t="s">
        <v>61</v>
      </c>
      <c r="C31" s="49" t="str">
        <f>VLOOKUP(Tableau4[[#This Row],[Personne enseignante]],Feuil_M!$A$3:$B$8,2,FALSE)</f>
        <v>-</v>
      </c>
      <c r="D31" s="302" t="s">
        <v>61</v>
      </c>
      <c r="E31" s="50" t="str">
        <f>VLOOKUP(Tableau4[[#This Row],[Responsable de l’encadrement]],Feuil_M!$A$3:$B$8,2,FALSE)</f>
        <v>-</v>
      </c>
      <c r="F31" s="303" t="s">
        <v>61</v>
      </c>
      <c r="G31" s="49" t="str">
        <f>VLOOKUP(Tableau4[[#This Row],[Personne enseignante2]],Feuil_M!$A$3:$B$8,2,FALSE)</f>
        <v>-</v>
      </c>
      <c r="H31" s="295" t="s">
        <v>61</v>
      </c>
      <c r="I31" s="50" t="str">
        <f>VLOOKUP(Tableau4[[#This Row],[Responsable de l’encadrement2]],Feuil_M!$A$3:$B$8,2,FALSE)</f>
        <v>-</v>
      </c>
    </row>
    <row r="32" spans="1:11" ht="18" thickBot="1" x14ac:dyDescent="0.35">
      <c r="A32" s="19" t="s">
        <v>65</v>
      </c>
      <c r="B32" s="297" t="s">
        <v>61</v>
      </c>
      <c r="C32" s="49" t="str">
        <f>VLOOKUP(Tableau4[[#This Row],[Personne enseignante]],Feuil_M!$A$3:$B$8,2,FALSE)</f>
        <v>-</v>
      </c>
      <c r="D32" s="302" t="s">
        <v>61</v>
      </c>
      <c r="E32" s="50" t="str">
        <f>VLOOKUP(Tableau4[[#This Row],[Responsable de l’encadrement]],Feuil_M!$A$3:$B$8,2,FALSE)</f>
        <v>-</v>
      </c>
      <c r="F32" s="303" t="s">
        <v>61</v>
      </c>
      <c r="G32" s="49" t="str">
        <f>VLOOKUP(Tableau4[[#This Row],[Personne enseignante2]],Feuil_M!$A$3:$B$8,2,FALSE)</f>
        <v>-</v>
      </c>
      <c r="H32" s="295" t="s">
        <v>61</v>
      </c>
      <c r="I32" s="50" t="str">
        <f>VLOOKUP(Tableau4[[#This Row],[Responsable de l’encadrement2]],Feuil_M!$A$3:$B$8,2,FALSE)</f>
        <v>-</v>
      </c>
    </row>
    <row r="33" spans="1:14" ht="18" thickBot="1" x14ac:dyDescent="0.35">
      <c r="A33" s="19" t="s">
        <v>67</v>
      </c>
      <c r="B33" s="297" t="s">
        <v>61</v>
      </c>
      <c r="C33" s="49" t="str">
        <f>VLOOKUP(Tableau4[[#This Row],[Personne enseignante]],Feuil_M!$A$3:$B$8,2,FALSE)</f>
        <v>-</v>
      </c>
      <c r="D33" s="302" t="s">
        <v>61</v>
      </c>
      <c r="E33" s="50" t="str">
        <f>VLOOKUP(Tableau4[[#This Row],[Responsable de l’encadrement]],Feuil_M!$A$3:$B$8,2,FALSE)</f>
        <v>-</v>
      </c>
      <c r="F33" s="303" t="s">
        <v>61</v>
      </c>
      <c r="G33" s="49" t="str">
        <f>VLOOKUP(Tableau4[[#This Row],[Personne enseignante2]],Feuil_M!$A$3:$B$8,2,FALSE)</f>
        <v>-</v>
      </c>
      <c r="H33" s="295" t="s">
        <v>61</v>
      </c>
      <c r="I33" s="50" t="str">
        <f>VLOOKUP(Tableau4[[#This Row],[Responsable de l’encadrement2]],Feuil_M!$A$3:$B$8,2,FALSE)</f>
        <v>-</v>
      </c>
    </row>
    <row r="34" spans="1:14" ht="18" thickBot="1" x14ac:dyDescent="0.35">
      <c r="A34" s="19" t="s">
        <v>69</v>
      </c>
      <c r="B34" s="297" t="s">
        <v>61</v>
      </c>
      <c r="C34" s="49" t="str">
        <f>VLOOKUP(Tableau4[[#This Row],[Personne enseignante]],Feuil_M!$A$3:$B$8,2,FALSE)</f>
        <v>-</v>
      </c>
      <c r="D34" s="302" t="s">
        <v>61</v>
      </c>
      <c r="E34" s="50" t="str">
        <f>VLOOKUP(Tableau4[[#This Row],[Responsable de l’encadrement]],Feuil_M!$A$3:$B$8,2,FALSE)</f>
        <v>-</v>
      </c>
      <c r="F34" s="303" t="s">
        <v>61</v>
      </c>
      <c r="G34" s="49" t="str">
        <f>VLOOKUP(Tableau4[[#This Row],[Personne enseignante2]],Feuil_M!$A$3:$B$8,2,FALSE)</f>
        <v>-</v>
      </c>
      <c r="H34" s="295" t="s">
        <v>61</v>
      </c>
      <c r="I34" s="50" t="str">
        <f>VLOOKUP(Tableau4[[#This Row],[Responsable de l’encadrement2]],Feuil_M!$A$3:$B$8,2,FALSE)</f>
        <v>-</v>
      </c>
    </row>
    <row r="35" spans="1:14" ht="18" thickBot="1" x14ac:dyDescent="0.35">
      <c r="A35" s="363"/>
      <c r="B35" s="364"/>
      <c r="C35" s="364"/>
      <c r="D35" s="51"/>
      <c r="E35" s="28"/>
      <c r="F35" s="12"/>
      <c r="G35" s="4"/>
      <c r="H35" s="4"/>
      <c r="I35" s="17"/>
    </row>
    <row r="36" spans="1:14" ht="18" customHeight="1" thickBot="1" x14ac:dyDescent="0.35">
      <c r="A36" s="101" t="s">
        <v>211</v>
      </c>
      <c r="B36" s="54"/>
      <c r="C36" s="164" t="str">
        <f>IF(SUBTOTAL(102,Tableau4[Résultats For1])=0,"",SUBTOTAL(101,Tableau4[Résultats For1]))</f>
        <v/>
      </c>
      <c r="D36" s="52"/>
      <c r="E36" s="164" t="str">
        <f>IF(SUBTOTAL(102,Tableau4[Résultats For2])=0,"",SUBTOTAL(101,Tableau4[Résultats For2]))</f>
        <v/>
      </c>
      <c r="F36" s="52"/>
      <c r="G36" s="164" t="str">
        <f>IF(SUBTOTAL(102,Tableau4[Résultats Som1])=0,"",SUBTOTAL(101,Tableau4[Résultats Som1]))</f>
        <v/>
      </c>
      <c r="H36" s="51"/>
      <c r="I36" s="165" t="str">
        <f>IF(SUBTOTAL(102,Tableau4[Résultats Som2])=0,"",SUBTOTAL(101,Tableau4[Résultats Som2]))</f>
        <v/>
      </c>
    </row>
    <row r="37" spans="1:14" ht="30" customHeight="1" x14ac:dyDescent="0.4">
      <c r="A37" s="368"/>
      <c r="B37" s="368"/>
      <c r="C37" s="368"/>
      <c r="D37" s="368"/>
      <c r="E37" s="368"/>
      <c r="F37" s="368"/>
      <c r="G37" s="1"/>
      <c r="H37" s="1"/>
      <c r="I37" s="1"/>
      <c r="J37" s="1"/>
      <c r="K37" s="1"/>
    </row>
    <row r="38" spans="1:14" ht="30" customHeight="1" x14ac:dyDescent="0.4">
      <c r="A38" s="393" t="s">
        <v>225</v>
      </c>
      <c r="B38" s="393"/>
      <c r="C38" s="393"/>
      <c r="D38" s="393"/>
      <c r="E38" s="393"/>
      <c r="F38" s="105"/>
      <c r="G38" s="1"/>
      <c r="H38" s="1"/>
      <c r="I38" s="1"/>
      <c r="J38" s="1"/>
      <c r="K38" s="1"/>
    </row>
    <row r="39" spans="1:14" ht="12" customHeight="1" x14ac:dyDescent="0.25">
      <c r="G39" s="1"/>
      <c r="H39" s="1"/>
      <c r="I39" s="1"/>
      <c r="J39" s="1"/>
      <c r="K39" s="1"/>
    </row>
    <row r="40" spans="1:14" ht="16.2" customHeight="1" thickBot="1" x14ac:dyDescent="0.35">
      <c r="D40" s="369" t="s">
        <v>212</v>
      </c>
      <c r="E40" s="369"/>
      <c r="F40" s="369"/>
      <c r="G40" s="369"/>
      <c r="I40" s="353" t="s">
        <v>226</v>
      </c>
      <c r="J40" s="353"/>
      <c r="K40" s="353"/>
      <c r="L40" s="1"/>
      <c r="M40" s="103" t="s">
        <v>72</v>
      </c>
      <c r="N40" s="103"/>
    </row>
    <row r="41" spans="1:14" ht="162" customHeight="1" thickBot="1" x14ac:dyDescent="0.3">
      <c r="B41" s="29"/>
      <c r="D41" s="350" t="s">
        <v>214</v>
      </c>
      <c r="E41" s="351"/>
      <c r="F41" s="351"/>
      <c r="G41" s="352"/>
      <c r="I41" s="350" t="s">
        <v>214</v>
      </c>
      <c r="J41" s="351"/>
      <c r="K41" s="352"/>
      <c r="L41" s="44"/>
      <c r="M41" s="354" t="s">
        <v>215</v>
      </c>
      <c r="N41" s="355"/>
    </row>
    <row r="42" spans="1:14" ht="16.95" customHeight="1" x14ac:dyDescent="0.25">
      <c r="D42" t="s">
        <v>216</v>
      </c>
      <c r="F42">
        <f>LEN(TRIM(D41))-LEN(SUBSTITUTE(D41," ",""))+1</f>
        <v>7</v>
      </c>
      <c r="I42" t="s">
        <v>216</v>
      </c>
      <c r="J42">
        <f>LEN(TRIM(I41))-LEN(SUBSTITUTE(I41," ",""))+1</f>
        <v>7</v>
      </c>
      <c r="L42" s="1"/>
      <c r="M42" s="42" t="s">
        <v>216</v>
      </c>
      <c r="N42">
        <f>LEN(TRIM(M41))-LEN(SUBSTITUTE(M41," ",""))+1</f>
        <v>8</v>
      </c>
    </row>
    <row r="43" spans="1:14" ht="16.95" customHeight="1" x14ac:dyDescent="0.25">
      <c r="E43" s="16"/>
      <c r="G43" s="16"/>
      <c r="J43" s="16"/>
      <c r="K43" s="1"/>
      <c r="L43" s="1"/>
    </row>
    <row r="44" spans="1:14" ht="16.2" customHeight="1" thickBot="1" x14ac:dyDescent="0.35">
      <c r="D44" s="369" t="s">
        <v>212</v>
      </c>
      <c r="E44" s="369"/>
      <c r="F44" s="369"/>
      <c r="G44" s="369"/>
      <c r="I44" s="43" t="s">
        <v>226</v>
      </c>
      <c r="L44" s="1"/>
      <c r="M44" s="103" t="s">
        <v>72</v>
      </c>
      <c r="N44" s="103"/>
    </row>
    <row r="45" spans="1:14" ht="162" customHeight="1" thickBot="1" x14ac:dyDescent="0.3">
      <c r="B45" s="29"/>
      <c r="D45" s="350" t="s">
        <v>214</v>
      </c>
      <c r="E45" s="351"/>
      <c r="F45" s="351"/>
      <c r="G45" s="352"/>
      <c r="I45" s="350" t="s">
        <v>214</v>
      </c>
      <c r="J45" s="351"/>
      <c r="K45" s="352"/>
      <c r="L45" s="1"/>
      <c r="M45" s="354" t="s">
        <v>215</v>
      </c>
      <c r="N45" s="355"/>
    </row>
    <row r="46" spans="1:14" ht="17.7" customHeight="1" x14ac:dyDescent="0.25">
      <c r="D46" t="s">
        <v>216</v>
      </c>
      <c r="F46">
        <f>LEN(TRIM(D45))-LEN(SUBSTITUTE(D45," ",""))+1</f>
        <v>7</v>
      </c>
      <c r="I46" t="s">
        <v>216</v>
      </c>
      <c r="J46">
        <f>LEN(TRIM(I45))-LEN(SUBSTITUTE(I45," ",""))+1</f>
        <v>7</v>
      </c>
      <c r="L46" s="1"/>
      <c r="M46" s="42" t="s">
        <v>216</v>
      </c>
      <c r="N46">
        <f>LEN(TRIM(M45))-LEN(SUBSTITUTE(M45," ",""))+1</f>
        <v>8</v>
      </c>
    </row>
    <row r="47" spans="1:14" ht="19.2" customHeight="1" x14ac:dyDescent="0.25"/>
    <row r="48" spans="1:14" ht="16.2" customHeight="1" thickBot="1" x14ac:dyDescent="0.35">
      <c r="D48" s="353" t="s">
        <v>212</v>
      </c>
      <c r="E48" s="353"/>
      <c r="F48" s="353"/>
      <c r="G48" s="353"/>
      <c r="I48" s="369" t="s">
        <v>226</v>
      </c>
      <c r="J48" s="369"/>
      <c r="K48" s="369"/>
      <c r="M48" s="103" t="s">
        <v>72</v>
      </c>
      <c r="N48" s="103"/>
    </row>
    <row r="49" spans="1:14" ht="183" customHeight="1" thickBot="1" x14ac:dyDescent="0.3">
      <c r="D49" s="350" t="s">
        <v>214</v>
      </c>
      <c r="E49" s="351"/>
      <c r="F49" s="351"/>
      <c r="G49" s="352"/>
      <c r="I49" s="350" t="s">
        <v>214</v>
      </c>
      <c r="J49" s="351"/>
      <c r="K49" s="352"/>
      <c r="M49" s="354" t="s">
        <v>215</v>
      </c>
      <c r="N49" s="355"/>
    </row>
    <row r="50" spans="1:14" ht="19.95" customHeight="1" x14ac:dyDescent="0.25">
      <c r="D50" t="s">
        <v>216</v>
      </c>
      <c r="F50">
        <f>LEN(TRIM(D49))-LEN(SUBSTITUTE(D49," ",""))+1</f>
        <v>7</v>
      </c>
      <c r="I50" t="s">
        <v>216</v>
      </c>
      <c r="J50">
        <f>LEN(TRIM(I49))-LEN(SUBSTITUTE(I49," ",""))+1</f>
        <v>7</v>
      </c>
      <c r="M50" s="42" t="s">
        <v>216</v>
      </c>
      <c r="N50">
        <f>LEN(TRIM(M49))-LEN(SUBSTITUTE(M49," ",""))+1</f>
        <v>8</v>
      </c>
    </row>
    <row r="51" spans="1:14" x14ac:dyDescent="0.25">
      <c r="E51" s="16"/>
      <c r="G51" s="16"/>
      <c r="K51" s="1"/>
    </row>
    <row r="52" spans="1:14" ht="16.2" customHeight="1" thickBot="1" x14ac:dyDescent="0.35">
      <c r="D52" s="353" t="s">
        <v>212</v>
      </c>
      <c r="E52" s="353"/>
      <c r="F52" s="353"/>
      <c r="G52" s="353"/>
      <c r="I52" s="369" t="s">
        <v>226</v>
      </c>
      <c r="J52" s="369"/>
      <c r="K52" s="369"/>
      <c r="M52" s="103" t="s">
        <v>72</v>
      </c>
      <c r="N52" s="103"/>
    </row>
    <row r="53" spans="1:14" ht="157.19999999999999" customHeight="1" thickBot="1" x14ac:dyDescent="0.3">
      <c r="D53" s="350" t="s">
        <v>214</v>
      </c>
      <c r="E53" s="351"/>
      <c r="F53" s="351"/>
      <c r="G53" s="352"/>
      <c r="I53" s="350" t="s">
        <v>214</v>
      </c>
      <c r="J53" s="351"/>
      <c r="K53" s="352"/>
      <c r="M53" s="354" t="s">
        <v>215</v>
      </c>
      <c r="N53" s="355"/>
    </row>
    <row r="54" spans="1:14" x14ac:dyDescent="0.25">
      <c r="D54" t="s">
        <v>216</v>
      </c>
      <c r="F54">
        <f>LEN(TRIM(D53))-LEN(SUBSTITUTE(D53," ",""))+1</f>
        <v>7</v>
      </c>
      <c r="I54" t="s">
        <v>216</v>
      </c>
      <c r="J54">
        <f>LEN(TRIM(I53))-LEN(SUBSTITUTE(I53," ",""))+1</f>
        <v>7</v>
      </c>
      <c r="M54" s="42" t="s">
        <v>216</v>
      </c>
      <c r="N54">
        <f>LEN(TRIM(M53))-LEN(SUBSTITUTE(M53," ",""))+1</f>
        <v>8</v>
      </c>
    </row>
    <row r="57" spans="1:14" ht="16.2" thickBot="1" x14ac:dyDescent="0.35">
      <c r="D57" s="353" t="s">
        <v>212</v>
      </c>
      <c r="E57" s="353"/>
      <c r="F57" s="353"/>
      <c r="G57" s="353"/>
      <c r="I57" s="369" t="s">
        <v>226</v>
      </c>
      <c r="J57" s="369"/>
      <c r="K57" s="369"/>
      <c r="M57" s="103" t="s">
        <v>72</v>
      </c>
      <c r="N57" s="103"/>
    </row>
    <row r="58" spans="1:14" ht="158.69999999999999" customHeight="1" thickBot="1" x14ac:dyDescent="0.3">
      <c r="D58" s="350" t="s">
        <v>214</v>
      </c>
      <c r="E58" s="351"/>
      <c r="F58" s="351"/>
      <c r="G58" s="352"/>
      <c r="I58" s="350" t="s">
        <v>214</v>
      </c>
      <c r="J58" s="351"/>
      <c r="K58" s="352"/>
      <c r="M58" s="354" t="s">
        <v>215</v>
      </c>
      <c r="N58" s="355"/>
    </row>
    <row r="59" spans="1:14" x14ac:dyDescent="0.25">
      <c r="D59" t="s">
        <v>216</v>
      </c>
      <c r="F59">
        <f>LEN(TRIM(D58))-LEN(SUBSTITUTE(D58," ",""))+1</f>
        <v>7</v>
      </c>
      <c r="I59" t="s">
        <v>216</v>
      </c>
      <c r="J59">
        <f>LEN(TRIM(I58))-LEN(SUBSTITUTE(I58," ",""))+1</f>
        <v>7</v>
      </c>
      <c r="M59" s="42" t="s">
        <v>216</v>
      </c>
      <c r="N59">
        <f>LEN(TRIM(M58))-LEN(SUBSTITUTE(M58," ",""))+1</f>
        <v>8</v>
      </c>
    </row>
    <row r="62" spans="1:14" ht="16.2" thickBot="1" x14ac:dyDescent="0.35">
      <c r="D62" s="353" t="s">
        <v>212</v>
      </c>
      <c r="E62" s="353"/>
      <c r="F62" s="353"/>
      <c r="G62" s="353"/>
      <c r="I62" s="369" t="s">
        <v>226</v>
      </c>
      <c r="J62" s="369"/>
      <c r="K62" s="369"/>
      <c r="M62" s="103" t="s">
        <v>72</v>
      </c>
      <c r="N62" s="103"/>
    </row>
    <row r="63" spans="1:14" ht="164.7" customHeight="1" thickBot="1" x14ac:dyDescent="0.3">
      <c r="D63" s="350" t="s">
        <v>214</v>
      </c>
      <c r="E63" s="351"/>
      <c r="F63" s="351"/>
      <c r="G63" s="352"/>
      <c r="I63" s="350" t="s">
        <v>214</v>
      </c>
      <c r="J63" s="351"/>
      <c r="K63" s="352"/>
      <c r="M63" s="354" t="s">
        <v>215</v>
      </c>
      <c r="N63" s="355"/>
    </row>
    <row r="64" spans="1:14" x14ac:dyDescent="0.25">
      <c r="A64" s="173"/>
      <c r="D64" t="s">
        <v>216</v>
      </c>
      <c r="F64">
        <f>LEN(TRIM(D63))-LEN(SUBSTITUTE(D63," ",""))+1</f>
        <v>7</v>
      </c>
      <c r="I64" t="s">
        <v>216</v>
      </c>
      <c r="J64">
        <f>LEN(TRIM(I63))-LEN(SUBSTITUTE(I63," ",""))+1</f>
        <v>7</v>
      </c>
      <c r="M64" s="42" t="s">
        <v>216</v>
      </c>
      <c r="N64">
        <f>LEN(TRIM(M63))-LEN(SUBSTITUTE(M63," ",""))+1</f>
        <v>8</v>
      </c>
    </row>
    <row r="66" spans="1:2" x14ac:dyDescent="0.25">
      <c r="A66" s="174"/>
    </row>
    <row r="68" spans="1:2" x14ac:dyDescent="0.25">
      <c r="A68" s="178"/>
      <c r="B68" s="177"/>
    </row>
    <row r="70" spans="1:2" x14ac:dyDescent="0.25">
      <c r="B70" s="174"/>
    </row>
  </sheetData>
  <sheetProtection algorithmName="SHA-512" hashValue="Bur/12HBnEdI1HjnzE6jRlP4bLV3vCdTdcr0r0EthObdSfRGd18EszdQWwf3EVs6jtIReM2pN8NS0/8IdwXTmA==" saltValue="HJq/TYALKwL7BLUTgthFYw==" spinCount="100000" sheet="1" objects="1" scenarios="1" selectLockedCells="1"/>
  <mergeCells count="39">
    <mergeCell ref="D57:G57"/>
    <mergeCell ref="D58:G58"/>
    <mergeCell ref="D63:G63"/>
    <mergeCell ref="D62:G62"/>
    <mergeCell ref="D52:G52"/>
    <mergeCell ref="D53:G53"/>
    <mergeCell ref="I57:K57"/>
    <mergeCell ref="I58:K58"/>
    <mergeCell ref="I62:K62"/>
    <mergeCell ref="I63:K63"/>
    <mergeCell ref="M63:N63"/>
    <mergeCell ref="D49:G49"/>
    <mergeCell ref="I52:K52"/>
    <mergeCell ref="I53:K53"/>
    <mergeCell ref="I40:K40"/>
    <mergeCell ref="I41:K41"/>
    <mergeCell ref="I45:K45"/>
    <mergeCell ref="I48:K48"/>
    <mergeCell ref="I49:K49"/>
    <mergeCell ref="D40:G40"/>
    <mergeCell ref="D41:G41"/>
    <mergeCell ref="D44:G44"/>
    <mergeCell ref="D45:G45"/>
    <mergeCell ref="D48:G48"/>
    <mergeCell ref="A38:E38"/>
    <mergeCell ref="A25:D25"/>
    <mergeCell ref="E26:G26"/>
    <mergeCell ref="A24:F24"/>
    <mergeCell ref="A37:F37"/>
    <mergeCell ref="A14:D14"/>
    <mergeCell ref="A27:E27"/>
    <mergeCell ref="F27:I27"/>
    <mergeCell ref="A35:C35"/>
    <mergeCell ref="B2:F2"/>
    <mergeCell ref="M41:N41"/>
    <mergeCell ref="M45:N45"/>
    <mergeCell ref="M49:N49"/>
    <mergeCell ref="M53:N53"/>
    <mergeCell ref="M58:N58"/>
  </mergeCells>
  <dataValidations count="2">
    <dataValidation type="custom" allowBlank="1" showInputMessage="1" showErrorMessage="1" error="Le nombre de mots de cette zone de commentaire semble être supérieure à 150" sqref="I41 L41 I45 I49 I53 I58 I63" xr:uid="{A6AB80A4-97C5-4443-A671-E79674C3D36E}">
      <formula1>LEN(TRIM(I41))-LEN(SUBSTITUTE(I41," ",""))+1&lt;=150</formula1>
    </dataValidation>
    <dataValidation type="custom" allowBlank="1" showErrorMessage="1" error="Le nombre de mots de cette zone de commentaire semble être supérieur à 150" sqref="D41:G41 M63:N63 M58:N58 M53:N53 M49:N49 M45:N45 M41:N41 D63:G63 D58:G58 D53:G53 D49:G49 D45:G45" xr:uid="{3281C99D-7F74-49EB-A80C-DA07ECCB5DFC}">
      <formula1>LEN(TRIM(D41))-LEN(SUBSTITUTE(D41," ",""))+1&lt;=150</formula1>
    </dataValidation>
  </dataValidations>
  <pageMargins left="0.7" right="0.7" top="0.75" bottom="0.75" header="0.3" footer="0.3"/>
  <pageSetup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56F0FD86-8F73-412F-AA3A-F95CCDAB51D1}">
          <x14:formula1>
            <xm:f>Feuil_M!$A$3:$A$8</xm:f>
          </x14:formula1>
          <xm:sqref>H29:H34 F29:F34 B29:B34 D29:D34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FE4C3-C63B-483C-8E87-BEEC912D60A7}">
  <sheetPr codeName="Feuil6">
    <tabColor rgb="FFC1C2DA"/>
  </sheetPr>
  <dimension ref="A1:N85"/>
  <sheetViews>
    <sheetView showGridLines="0" showRowColHeaders="0" zoomScale="65" zoomScaleNormal="65" workbookViewId="0">
      <selection activeCell="B29" sqref="B29"/>
    </sheetView>
  </sheetViews>
  <sheetFormatPr baseColWidth="10" defaultColWidth="11" defaultRowHeight="13.8" x14ac:dyDescent="0.25"/>
  <cols>
    <col min="1" max="1" width="26.69921875" customWidth="1"/>
    <col min="2" max="2" width="27.69921875" customWidth="1"/>
    <col min="3" max="3" width="27.19921875" hidden="1" customWidth="1"/>
    <col min="4" max="4" width="27.69921875" customWidth="1"/>
    <col min="5" max="5" width="30.19921875" hidden="1" customWidth="1"/>
    <col min="6" max="7" width="27.69921875" customWidth="1"/>
    <col min="8" max="8" width="32.69921875" customWidth="1"/>
    <col min="9" max="11" width="30.69921875" customWidth="1"/>
    <col min="12" max="12" width="15.69921875" customWidth="1"/>
    <col min="13" max="14" width="40.69921875" customWidth="1"/>
    <col min="15" max="15" width="15" customWidth="1"/>
  </cols>
  <sheetData>
    <row r="1" spans="1:8" ht="21" customHeight="1" x14ac:dyDescent="0.25">
      <c r="A1" s="9"/>
    </row>
    <row r="2" spans="1:8" ht="22.2" customHeight="1" x14ac:dyDescent="0.25">
      <c r="A2" s="9"/>
      <c r="B2" s="373" t="s">
        <v>0</v>
      </c>
      <c r="C2" s="373"/>
      <c r="D2" s="373"/>
      <c r="E2" s="373"/>
      <c r="F2" s="373"/>
    </row>
    <row r="3" spans="1:8" ht="21.45" customHeight="1" x14ac:dyDescent="0.25">
      <c r="A3" s="9"/>
    </row>
    <row r="13" spans="1:8" ht="13.95" customHeight="1" x14ac:dyDescent="0.25"/>
    <row r="14" spans="1:8" ht="22.95" customHeight="1" x14ac:dyDescent="0.4">
      <c r="A14" s="361" t="s">
        <v>193</v>
      </c>
      <c r="B14" s="314"/>
      <c r="C14" s="314"/>
      <c r="D14" s="314"/>
    </row>
    <row r="15" spans="1:8" ht="14.4" customHeight="1" thickBot="1" x14ac:dyDescent="0.3"/>
    <row r="16" spans="1:8" ht="31.95" customHeight="1" x14ac:dyDescent="0.3">
      <c r="A16" s="39" t="s">
        <v>6</v>
      </c>
      <c r="B16" s="39" t="s">
        <v>47</v>
      </c>
      <c r="C16" s="87"/>
      <c r="D16" s="39" t="s">
        <v>7</v>
      </c>
      <c r="F16" s="39" t="s">
        <v>8</v>
      </c>
      <c r="G16" s="39" t="s">
        <v>9</v>
      </c>
      <c r="H16" s="39" t="s">
        <v>10</v>
      </c>
    </row>
    <row r="17" spans="1:11" ht="31.95" customHeight="1" thickBot="1" x14ac:dyDescent="0.3">
      <c r="A17" s="47" t="s">
        <v>195</v>
      </c>
      <c r="B17" s="277" t="s">
        <v>11</v>
      </c>
      <c r="C17" s="278"/>
      <c r="D17" s="277" t="s">
        <v>12</v>
      </c>
      <c r="E17" s="276"/>
      <c r="F17" s="277" t="s">
        <v>13</v>
      </c>
      <c r="G17" s="277" t="s">
        <v>14</v>
      </c>
      <c r="H17" s="277" t="s">
        <v>15</v>
      </c>
    </row>
    <row r="18" spans="1:11" ht="31.95" customHeight="1" thickBot="1" x14ac:dyDescent="0.3">
      <c r="A18" s="47" t="s">
        <v>16</v>
      </c>
      <c r="B18" s="284" t="s">
        <v>200</v>
      </c>
      <c r="C18" s="279"/>
      <c r="D18" s="284" t="s">
        <v>201</v>
      </c>
      <c r="E18" s="276"/>
      <c r="F18" s="280" t="s">
        <v>17</v>
      </c>
      <c r="G18" s="280" t="s">
        <v>18</v>
      </c>
      <c r="H18" s="280" t="s">
        <v>19</v>
      </c>
    </row>
    <row r="19" spans="1:11" ht="31.95" customHeight="1" thickBot="1" x14ac:dyDescent="0.3">
      <c r="A19" s="88" t="s">
        <v>20</v>
      </c>
      <c r="B19" s="281" t="s">
        <v>21</v>
      </c>
      <c r="C19" s="282"/>
      <c r="D19" s="281" t="s">
        <v>187</v>
      </c>
      <c r="E19" s="276"/>
      <c r="F19" s="281" t="s">
        <v>188</v>
      </c>
      <c r="G19" s="281" t="s">
        <v>194</v>
      </c>
      <c r="H19" s="281" t="s">
        <v>22</v>
      </c>
    </row>
    <row r="20" spans="1:11" ht="13.95" customHeight="1" x14ac:dyDescent="0.25"/>
    <row r="23" spans="1:11" ht="13.95" customHeight="1" x14ac:dyDescent="0.25"/>
    <row r="24" spans="1:11" ht="22.95" customHeight="1" x14ac:dyDescent="0.4">
      <c r="A24" s="368" t="s">
        <v>206</v>
      </c>
      <c r="B24" s="368"/>
      <c r="C24" s="368"/>
      <c r="D24" s="368"/>
      <c r="E24" s="368"/>
      <c r="F24" s="368"/>
    </row>
    <row r="25" spans="1:11" ht="19.2" customHeight="1" x14ac:dyDescent="0.3">
      <c r="A25" s="367" t="s">
        <v>48</v>
      </c>
      <c r="B25" s="367"/>
      <c r="C25" s="367"/>
      <c r="D25" s="367"/>
      <c r="I25" s="1"/>
      <c r="J25" s="1"/>
      <c r="K25" s="1"/>
    </row>
    <row r="26" spans="1:11" ht="15.6" thickBot="1" x14ac:dyDescent="0.3">
      <c r="E26" s="396"/>
      <c r="F26" s="396"/>
      <c r="G26" s="396"/>
      <c r="H26" s="6"/>
      <c r="I26" s="7"/>
      <c r="J26" s="1"/>
      <c r="K26" s="1"/>
    </row>
    <row r="27" spans="1:11" ht="22.2" customHeight="1" thickTop="1" thickBot="1" x14ac:dyDescent="0.45">
      <c r="A27" s="397" t="s">
        <v>49</v>
      </c>
      <c r="B27" s="398"/>
      <c r="C27" s="398"/>
      <c r="D27" s="398"/>
      <c r="E27" s="398"/>
      <c r="F27" s="399" t="s">
        <v>50</v>
      </c>
      <c r="G27" s="398"/>
      <c r="H27" s="398"/>
      <c r="I27" s="400"/>
      <c r="J27" s="1"/>
      <c r="K27" s="1"/>
    </row>
    <row r="28" spans="1:11" ht="34.950000000000003" customHeight="1" thickBot="1" x14ac:dyDescent="0.35">
      <c r="A28" s="146" t="s">
        <v>231</v>
      </c>
      <c r="B28" s="38" t="s">
        <v>51</v>
      </c>
      <c r="C28" s="112" t="s">
        <v>52</v>
      </c>
      <c r="D28" s="147" t="s">
        <v>191</v>
      </c>
      <c r="E28" s="148" t="s">
        <v>53</v>
      </c>
      <c r="F28" s="139" t="s">
        <v>54</v>
      </c>
      <c r="G28" s="112" t="s">
        <v>55</v>
      </c>
      <c r="H28" s="13" t="s">
        <v>209</v>
      </c>
      <c r="I28" s="112" t="s">
        <v>56</v>
      </c>
      <c r="J28" t="s">
        <v>57</v>
      </c>
    </row>
    <row r="29" spans="1:11" ht="18" thickBot="1" x14ac:dyDescent="0.35">
      <c r="A29" s="140" t="s">
        <v>58</v>
      </c>
      <c r="B29" s="297" t="s">
        <v>61</v>
      </c>
      <c r="C29" s="60" t="str">
        <f>VLOOKUP(Tableau5[[#This Row],[Personne enseignante]],Feuil_M!$A$3:$B$8,2,FALSE)</f>
        <v>-</v>
      </c>
      <c r="D29" s="299" t="s">
        <v>61</v>
      </c>
      <c r="E29" s="141" t="str">
        <f>VLOOKUP(Tableau5[[#This Row],[Responsable de l’encadrement]],Feuil_M!$A$3:$B$8,2,FALSE)</f>
        <v>-</v>
      </c>
      <c r="F29" s="301" t="s">
        <v>61</v>
      </c>
      <c r="G29" s="60" t="str">
        <f>VLOOKUP(Tableau5[[#This Row],[Personne enseignante2]],Feuil_M!$A$3:$B$8,2,FALSE)</f>
        <v>-</v>
      </c>
      <c r="H29" s="297" t="s">
        <v>61</v>
      </c>
      <c r="I29" s="141" t="str">
        <f>VLOOKUP(Tableau5[[#This Row],[Responsable de l’encadrement2]],Feuil_M!$A$3:$B$8,2,FALSE)</f>
        <v>-</v>
      </c>
    </row>
    <row r="30" spans="1:11" ht="18" thickBot="1" x14ac:dyDescent="0.35">
      <c r="A30" s="19" t="s">
        <v>62</v>
      </c>
      <c r="B30" s="295" t="s">
        <v>61</v>
      </c>
      <c r="C30" s="49" t="str">
        <f>VLOOKUP(Tableau5[[#This Row],[Personne enseignante]],Feuil_M!$A$3:$B$8,2,FALSE)</f>
        <v>-</v>
      </c>
      <c r="D30" s="300" t="s">
        <v>61</v>
      </c>
      <c r="E30" s="50" t="str">
        <f>VLOOKUP(Tableau5[[#This Row],[Responsable de l’encadrement]],Feuil_M!$A$3:$B$8,2,FALSE)</f>
        <v>-</v>
      </c>
      <c r="F30" s="303" t="s">
        <v>61</v>
      </c>
      <c r="G30" s="49" t="str">
        <f>VLOOKUP(Tableau5[[#This Row],[Personne enseignante2]],Feuil_M!$A$3:$B$8,2,FALSE)</f>
        <v>-</v>
      </c>
      <c r="H30" s="295" t="s">
        <v>61</v>
      </c>
      <c r="I30" s="50" t="str">
        <f>VLOOKUP(Tableau5[[#This Row],[Responsable de l’encadrement2]],Feuil_M!$A$3:$B$8,2,FALSE)</f>
        <v>-</v>
      </c>
    </row>
    <row r="31" spans="1:11" ht="18" thickBot="1" x14ac:dyDescent="0.35">
      <c r="A31" s="19" t="s">
        <v>64</v>
      </c>
      <c r="B31" s="295" t="s">
        <v>61</v>
      </c>
      <c r="C31" s="49" t="str">
        <f>VLOOKUP(Tableau5[[#This Row],[Personne enseignante]],Feuil_M!$A$3:$B$8,2,FALSE)</f>
        <v>-</v>
      </c>
      <c r="D31" s="300" t="s">
        <v>61</v>
      </c>
      <c r="E31" s="50" t="str">
        <f>VLOOKUP(Tableau5[[#This Row],[Responsable de l’encadrement]],Feuil_M!$A$3:$B$8,2,FALSE)</f>
        <v>-</v>
      </c>
      <c r="F31" s="303" t="s">
        <v>61</v>
      </c>
      <c r="G31" s="49" t="str">
        <f>VLOOKUP(Tableau5[[#This Row],[Personne enseignante2]],Feuil_M!$A$3:$B$8,2,FALSE)</f>
        <v>-</v>
      </c>
      <c r="H31" s="295" t="s">
        <v>61</v>
      </c>
      <c r="I31" s="50" t="str">
        <f>VLOOKUP(Tableau5[[#This Row],[Responsable de l’encadrement2]],Feuil_M!$A$3:$B$8,2,FALSE)</f>
        <v>-</v>
      </c>
    </row>
    <row r="32" spans="1:11" ht="18" thickBot="1" x14ac:dyDescent="0.35">
      <c r="A32" s="19" t="s">
        <v>65</v>
      </c>
      <c r="B32" s="295" t="s">
        <v>61</v>
      </c>
      <c r="C32" s="49" t="str">
        <f>VLOOKUP(Tableau5[[#This Row],[Personne enseignante]],Feuil_M!$A$3:$B$8,2,FALSE)</f>
        <v>-</v>
      </c>
      <c r="D32" s="300" t="s">
        <v>61</v>
      </c>
      <c r="E32" s="50" t="str">
        <f>VLOOKUP(Tableau5[[#This Row],[Responsable de l’encadrement]],Feuil_M!$A$3:$B$8,2,FALSE)</f>
        <v>-</v>
      </c>
      <c r="F32" s="303" t="s">
        <v>61</v>
      </c>
      <c r="G32" s="49" t="str">
        <f>VLOOKUP(Tableau5[[#This Row],[Personne enseignante2]],Feuil_M!$A$3:$B$8,2,FALSE)</f>
        <v>-</v>
      </c>
      <c r="H32" s="295" t="s">
        <v>61</v>
      </c>
      <c r="I32" s="50" t="str">
        <f>VLOOKUP(Tableau5[[#This Row],[Responsable de l’encadrement2]],Feuil_M!$A$3:$B$8,2,FALSE)</f>
        <v>-</v>
      </c>
    </row>
    <row r="33" spans="1:14" ht="18" thickBot="1" x14ac:dyDescent="0.35">
      <c r="A33" s="19" t="s">
        <v>67</v>
      </c>
      <c r="B33" s="295" t="s">
        <v>61</v>
      </c>
      <c r="C33" s="49" t="str">
        <f>VLOOKUP(Tableau5[[#This Row],[Personne enseignante]],Feuil_M!$A$3:$B$8,2,FALSE)</f>
        <v>-</v>
      </c>
      <c r="D33" s="300" t="s">
        <v>61</v>
      </c>
      <c r="E33" s="50" t="str">
        <f>VLOOKUP(Tableau5[[#This Row],[Responsable de l’encadrement]],Feuil_M!$A$3:$B$8,2,FALSE)</f>
        <v>-</v>
      </c>
      <c r="F33" s="303" t="s">
        <v>61</v>
      </c>
      <c r="G33" s="49" t="str">
        <f>VLOOKUP(Tableau5[[#This Row],[Personne enseignante2]],Feuil_M!$A$3:$B$8,2,FALSE)</f>
        <v>-</v>
      </c>
      <c r="H33" s="295" t="s">
        <v>61</v>
      </c>
      <c r="I33" s="50" t="str">
        <f>VLOOKUP(Tableau5[[#This Row],[Responsable de l’encadrement2]],Feuil_M!$A$3:$B$8,2,FALSE)</f>
        <v>-</v>
      </c>
    </row>
    <row r="34" spans="1:14" ht="18" thickBot="1" x14ac:dyDescent="0.35">
      <c r="A34" s="19" t="s">
        <v>69</v>
      </c>
      <c r="B34" s="295" t="s">
        <v>61</v>
      </c>
      <c r="C34" s="49" t="str">
        <f>VLOOKUP(Tableau5[[#This Row],[Personne enseignante]],Feuil_M!$A$3:$B$8,2,FALSE)</f>
        <v>-</v>
      </c>
      <c r="D34" s="300" t="s">
        <v>61</v>
      </c>
      <c r="E34" s="50" t="str">
        <f>VLOOKUP(Tableau5[[#This Row],[Responsable de l’encadrement]],Feuil_M!$A$3:$B$8,2,FALSE)</f>
        <v>-</v>
      </c>
      <c r="F34" s="303" t="s">
        <v>61</v>
      </c>
      <c r="G34" s="49" t="str">
        <f>VLOOKUP(Tableau5[[#This Row],[Personne enseignante2]],Feuil_M!$A$3:$B$8,2,FALSE)</f>
        <v>-</v>
      </c>
      <c r="H34" s="295" t="s">
        <v>61</v>
      </c>
      <c r="I34" s="50" t="str">
        <f>VLOOKUP(Tableau5[[#This Row],[Responsable de l’encadrement2]],Feuil_M!$A$3:$B$8,2,FALSE)</f>
        <v>-</v>
      </c>
    </row>
    <row r="35" spans="1:14" ht="18" thickBot="1" x14ac:dyDescent="0.35">
      <c r="A35" s="19" t="s">
        <v>70</v>
      </c>
      <c r="B35" s="295" t="s">
        <v>61</v>
      </c>
      <c r="C35" s="49" t="str">
        <f>VLOOKUP(Tableau5[[#This Row],[Personne enseignante]],Feuil_M!$A$3:$B$8,2,FALSE)</f>
        <v>-</v>
      </c>
      <c r="D35" s="300" t="s">
        <v>61</v>
      </c>
      <c r="E35" s="50" t="str">
        <f>VLOOKUP(Tableau5[[#This Row],[Responsable de l’encadrement]],Feuil_M!$A$3:$B$8,2,FALSE)</f>
        <v>-</v>
      </c>
      <c r="F35" s="303" t="s">
        <v>61</v>
      </c>
      <c r="G35" s="49" t="str">
        <f>VLOOKUP(Tableau5[[#This Row],[Personne enseignante2]],Feuil_M!$A$3:$B$8,2,FALSE)</f>
        <v>-</v>
      </c>
      <c r="H35" s="295" t="s">
        <v>61</v>
      </c>
      <c r="I35" s="50" t="str">
        <f>VLOOKUP(Tableau5[[#This Row],[Responsable de l’encadrement2]],Feuil_M!$A$3:$B$8,2,FALSE)</f>
        <v>-</v>
      </c>
    </row>
    <row r="36" spans="1:14" ht="18" thickBot="1" x14ac:dyDescent="0.35">
      <c r="A36" s="19" t="s">
        <v>71</v>
      </c>
      <c r="B36" s="295" t="s">
        <v>61</v>
      </c>
      <c r="C36" s="49" t="str">
        <f>VLOOKUP(Tableau5[[#This Row],[Personne enseignante]],Feuil_M!$A$3:$B$8,2,FALSE)</f>
        <v>-</v>
      </c>
      <c r="D36" s="300" t="s">
        <v>61</v>
      </c>
      <c r="E36" s="50" t="str">
        <f>VLOOKUP(Tableau5[[#This Row],[Responsable de l’encadrement]],Feuil_M!$A$3:$B$8,2,FALSE)</f>
        <v>-</v>
      </c>
      <c r="F36" s="303" t="s">
        <v>61</v>
      </c>
      <c r="G36" s="49" t="str">
        <f>VLOOKUP(Tableau5[[#This Row],[Personne enseignante2]],Feuil_M!$A$3:$B$8,2,FALSE)</f>
        <v>-</v>
      </c>
      <c r="H36" s="295" t="s">
        <v>61</v>
      </c>
      <c r="I36" s="50" t="str">
        <f>VLOOKUP(Tableau5[[#This Row],[Responsable de l’encadrement2]],Feuil_M!$A$3:$B$8,2,FALSE)</f>
        <v>-</v>
      </c>
    </row>
    <row r="37" spans="1:14" ht="18" thickBot="1" x14ac:dyDescent="0.35">
      <c r="A37" s="31" t="s">
        <v>74</v>
      </c>
      <c r="B37" s="295" t="s">
        <v>61</v>
      </c>
      <c r="C37" s="68" t="str">
        <f>VLOOKUP(Tableau5[[#This Row],[Personne enseignante]],Feuil_M!$A$3:$B$8,2,FALSE)</f>
        <v>-</v>
      </c>
      <c r="D37" s="300" t="s">
        <v>61</v>
      </c>
      <c r="E37" s="69" t="str">
        <f>VLOOKUP(Tableau5[[#This Row],[Responsable de l’encadrement]],Feuil_M!$A$3:$B$8,2,FALSE)</f>
        <v>-</v>
      </c>
      <c r="F37" s="303" t="s">
        <v>61</v>
      </c>
      <c r="G37" s="68" t="str">
        <f>VLOOKUP(Tableau5[[#This Row],[Personne enseignante2]],Feuil_M!$A$3:$B$8,2,FALSE)</f>
        <v>-</v>
      </c>
      <c r="H37" s="295" t="s">
        <v>61</v>
      </c>
      <c r="I37" s="69" t="str">
        <f>VLOOKUP(Tableau5[[#This Row],[Responsable de l’encadrement2]],Feuil_M!$A$3:$B$8,2,FALSE)</f>
        <v>-</v>
      </c>
    </row>
    <row r="38" spans="1:14" ht="18.600000000000001" thickTop="1" thickBot="1" x14ac:dyDescent="0.35">
      <c r="A38" s="394"/>
      <c r="B38" s="395"/>
      <c r="C38" s="395"/>
      <c r="D38" s="3"/>
      <c r="E38" s="32"/>
      <c r="F38" s="4"/>
      <c r="G38" s="4"/>
      <c r="H38" s="4"/>
      <c r="I38" s="30"/>
    </row>
    <row r="39" spans="1:14" ht="18" customHeight="1" thickBot="1" x14ac:dyDescent="0.35">
      <c r="A39" s="101" t="s">
        <v>211</v>
      </c>
      <c r="B39" s="54"/>
      <c r="C39" s="164" t="str">
        <f>IF(SUBTOTAL(102,Tableau5[Résultats For1])=0,"",SUBTOTAL(101,Tableau5[Résultats For1]))</f>
        <v/>
      </c>
      <c r="D39" s="8"/>
      <c r="E39" s="164" t="str">
        <f>IF(SUBTOTAL(102,Tableau5[Résultats For2])=0,"",SUBTOTAL(101,Tableau5[Résultats For2]))</f>
        <v/>
      </c>
      <c r="F39" s="8"/>
      <c r="G39" s="166" t="str">
        <f>IF(SUBTOTAL(102,Tableau5[Résultats Som1])=0,"",SUBTOTAL(101,Tableau5[Résultats Som1]))</f>
        <v/>
      </c>
      <c r="H39" s="3"/>
      <c r="I39" s="165" t="str">
        <f>IF(SUBTOTAL(102,Tableau5[Résultats Som2])=0,"",SUBTOTAL(101,Tableau5[Résultats Som2]))</f>
        <v/>
      </c>
    </row>
    <row r="40" spans="1:14" ht="13.95" customHeight="1" x14ac:dyDescent="0.4">
      <c r="A40" s="368"/>
      <c r="B40" s="368"/>
      <c r="C40" s="368"/>
      <c r="D40" s="368"/>
      <c r="E40" s="368"/>
      <c r="F40" s="1"/>
      <c r="G40" s="1"/>
      <c r="H40" s="1"/>
      <c r="I40" s="1"/>
      <c r="J40" s="1"/>
      <c r="K40" s="1"/>
    </row>
    <row r="41" spans="1:14" ht="33" customHeight="1" x14ac:dyDescent="0.3">
      <c r="A41" s="314" t="s">
        <v>230</v>
      </c>
      <c r="B41" s="314"/>
      <c r="C41" s="314"/>
      <c r="D41" s="314"/>
      <c r="E41" s="314"/>
      <c r="G41" s="1"/>
      <c r="H41" s="1"/>
      <c r="I41" s="1"/>
      <c r="J41" s="1"/>
      <c r="K41" s="1"/>
    </row>
    <row r="42" spans="1:14" ht="12.6" customHeight="1" x14ac:dyDescent="0.25">
      <c r="A42" s="24"/>
      <c r="B42" s="24"/>
      <c r="C42" s="24"/>
      <c r="D42" s="24"/>
      <c r="E42" s="24"/>
      <c r="G42" s="1"/>
      <c r="H42" s="1"/>
      <c r="I42" s="1"/>
      <c r="J42" s="1"/>
      <c r="K42" s="1"/>
    </row>
    <row r="43" spans="1:14" ht="25.95" customHeight="1" thickBot="1" x14ac:dyDescent="0.35">
      <c r="D43" s="369" t="s">
        <v>212</v>
      </c>
      <c r="E43" s="369"/>
      <c r="F43" s="369"/>
      <c r="G43" s="369"/>
      <c r="I43" s="353" t="s">
        <v>213</v>
      </c>
      <c r="J43" s="353"/>
      <c r="L43" s="43"/>
      <c r="M43" s="103" t="s">
        <v>72</v>
      </c>
      <c r="N43" s="103"/>
    </row>
    <row r="44" spans="1:14" ht="181.2" customHeight="1" thickBot="1" x14ac:dyDescent="0.3">
      <c r="D44" s="350" t="s">
        <v>214</v>
      </c>
      <c r="E44" s="351"/>
      <c r="F44" s="351"/>
      <c r="G44" s="352"/>
      <c r="I44" s="350" t="s">
        <v>214</v>
      </c>
      <c r="J44" s="351"/>
      <c r="K44" s="352"/>
      <c r="L44" s="44"/>
      <c r="M44" s="354" t="s">
        <v>215</v>
      </c>
      <c r="N44" s="355"/>
    </row>
    <row r="45" spans="1:14" ht="16.95" customHeight="1" x14ac:dyDescent="0.25">
      <c r="D45" t="s">
        <v>216</v>
      </c>
      <c r="F45">
        <f>LEN(TRIM(D44))-LEN(SUBSTITUTE(D44," ",""))+1</f>
        <v>7</v>
      </c>
      <c r="I45" t="s">
        <v>216</v>
      </c>
      <c r="J45">
        <f>LEN(TRIM(I44))-LEN(SUBSTITUTE(I44," ",""))+1</f>
        <v>7</v>
      </c>
      <c r="M45" s="42" t="s">
        <v>216</v>
      </c>
      <c r="N45">
        <f>LEN(TRIM(M44))-LEN(SUBSTITUTE(M44," ",""))+1</f>
        <v>8</v>
      </c>
    </row>
    <row r="46" spans="1:14" ht="19.95" customHeight="1" x14ac:dyDescent="0.25">
      <c r="E46" s="16"/>
      <c r="G46" s="16"/>
      <c r="J46" s="1"/>
    </row>
    <row r="47" spans="1:14" ht="19.95" customHeight="1" thickBot="1" x14ac:dyDescent="0.35">
      <c r="D47" s="369" t="s">
        <v>212</v>
      </c>
      <c r="E47" s="369"/>
      <c r="F47" s="369"/>
      <c r="G47" s="369"/>
      <c r="I47" s="353" t="s">
        <v>213</v>
      </c>
      <c r="J47" s="353"/>
      <c r="K47" s="353"/>
      <c r="L47" s="43"/>
      <c r="M47" s="103" t="s">
        <v>72</v>
      </c>
      <c r="N47" s="103"/>
    </row>
    <row r="48" spans="1:14" ht="190.95" customHeight="1" thickBot="1" x14ac:dyDescent="0.3">
      <c r="D48" s="350" t="s">
        <v>214</v>
      </c>
      <c r="E48" s="351"/>
      <c r="F48" s="351"/>
      <c r="G48" s="352"/>
      <c r="I48" s="350" t="s">
        <v>214</v>
      </c>
      <c r="J48" s="351"/>
      <c r="K48" s="352"/>
      <c r="L48" s="44"/>
      <c r="M48" s="354" t="s">
        <v>215</v>
      </c>
      <c r="N48" s="355"/>
    </row>
    <row r="49" spans="4:14" ht="18.45" customHeight="1" x14ac:dyDescent="0.25">
      <c r="D49" t="s">
        <v>216</v>
      </c>
      <c r="F49">
        <f>LEN(TRIM(D48))-LEN(SUBSTITUTE(D48," ",""))+1</f>
        <v>7</v>
      </c>
      <c r="I49" t="s">
        <v>216</v>
      </c>
      <c r="J49">
        <f>LEN(TRIM(I48))-LEN(SUBSTITUTE(I48," ",""))+1</f>
        <v>7</v>
      </c>
      <c r="M49" s="42" t="s">
        <v>216</v>
      </c>
      <c r="N49">
        <f>LEN(TRIM(M48))-LEN(SUBSTITUTE(M48," ",""))+1</f>
        <v>8</v>
      </c>
    </row>
    <row r="51" spans="4:14" ht="15.45" customHeight="1" thickBot="1" x14ac:dyDescent="0.35">
      <c r="D51" s="353" t="s">
        <v>212</v>
      </c>
      <c r="E51" s="353"/>
      <c r="F51" s="353"/>
      <c r="G51" s="353"/>
      <c r="I51" s="353" t="s">
        <v>213</v>
      </c>
      <c r="J51" s="353"/>
      <c r="K51" s="353"/>
      <c r="L51" s="43"/>
      <c r="M51" s="103" t="s">
        <v>72</v>
      </c>
      <c r="N51" s="103"/>
    </row>
    <row r="52" spans="4:14" ht="187.95" customHeight="1" thickBot="1" x14ac:dyDescent="0.3">
      <c r="D52" s="350" t="s">
        <v>214</v>
      </c>
      <c r="E52" s="351"/>
      <c r="F52" s="351"/>
      <c r="G52" s="352"/>
      <c r="I52" s="350" t="s">
        <v>214</v>
      </c>
      <c r="J52" s="351"/>
      <c r="K52" s="352"/>
      <c r="L52" s="44"/>
      <c r="M52" s="354" t="s">
        <v>215</v>
      </c>
      <c r="N52" s="355"/>
    </row>
    <row r="53" spans="4:14" ht="18" customHeight="1" x14ac:dyDescent="0.25">
      <c r="D53" t="s">
        <v>216</v>
      </c>
      <c r="F53">
        <f>LEN(TRIM(D52))-LEN(SUBSTITUTE(D52," ",""))+1</f>
        <v>7</v>
      </c>
      <c r="I53" t="s">
        <v>216</v>
      </c>
      <c r="J53">
        <f>LEN(TRIM(I52))-LEN(SUBSTITUTE(I52," ",""))+1</f>
        <v>7</v>
      </c>
      <c r="M53" s="42" t="s">
        <v>216</v>
      </c>
      <c r="N53">
        <f>LEN(TRIM(M52))-LEN(SUBSTITUTE(M52," ",""))+1</f>
        <v>8</v>
      </c>
    </row>
    <row r="54" spans="4:14" x14ac:dyDescent="0.25">
      <c r="E54" s="16"/>
      <c r="G54" s="16"/>
    </row>
    <row r="55" spans="4:14" ht="15.45" customHeight="1" thickBot="1" x14ac:dyDescent="0.35">
      <c r="D55" s="353" t="s">
        <v>212</v>
      </c>
      <c r="E55" s="353"/>
      <c r="F55" s="353"/>
      <c r="G55" s="353"/>
      <c r="I55" s="353" t="s">
        <v>213</v>
      </c>
      <c r="J55" s="353"/>
      <c r="K55" s="353"/>
      <c r="L55" s="43"/>
      <c r="M55" s="103" t="s">
        <v>72</v>
      </c>
      <c r="N55" s="103"/>
    </row>
    <row r="56" spans="4:14" ht="174.45" customHeight="1" thickBot="1" x14ac:dyDescent="0.3">
      <c r="D56" s="350" t="s">
        <v>214</v>
      </c>
      <c r="E56" s="351"/>
      <c r="F56" s="351"/>
      <c r="G56" s="352"/>
      <c r="I56" s="350" t="s">
        <v>214</v>
      </c>
      <c r="J56" s="351"/>
      <c r="K56" s="352"/>
      <c r="L56" s="44"/>
      <c r="M56" s="354" t="s">
        <v>215</v>
      </c>
      <c r="N56" s="355"/>
    </row>
    <row r="57" spans="4:14" ht="21" customHeight="1" x14ac:dyDescent="0.25">
      <c r="D57" t="s">
        <v>216</v>
      </c>
      <c r="F57">
        <f>LEN(TRIM(D56))-LEN(SUBSTITUTE(D56," ",""))+1</f>
        <v>7</v>
      </c>
      <c r="I57" t="s">
        <v>216</v>
      </c>
      <c r="J57">
        <f>LEN(TRIM(I56))-LEN(SUBSTITUTE(I56," ",""))+1</f>
        <v>7</v>
      </c>
      <c r="M57" s="42" t="s">
        <v>216</v>
      </c>
      <c r="N57">
        <f>LEN(TRIM(M56))-LEN(SUBSTITUTE(M56," ",""))+1</f>
        <v>8</v>
      </c>
    </row>
    <row r="58" spans="4:14" ht="31.2" customHeight="1" x14ac:dyDescent="0.25"/>
    <row r="59" spans="4:14" ht="15.45" customHeight="1" thickBot="1" x14ac:dyDescent="0.35">
      <c r="D59" s="353" t="s">
        <v>212</v>
      </c>
      <c r="E59" s="353"/>
      <c r="F59" s="353"/>
      <c r="G59" s="353"/>
      <c r="I59" s="353" t="s">
        <v>213</v>
      </c>
      <c r="J59" s="353"/>
      <c r="K59" s="353"/>
      <c r="L59" s="43"/>
      <c r="M59" s="103" t="s">
        <v>72</v>
      </c>
      <c r="N59" s="103"/>
    </row>
    <row r="60" spans="4:14" ht="184.2" customHeight="1" thickBot="1" x14ac:dyDescent="0.3">
      <c r="D60" s="350" t="s">
        <v>214</v>
      </c>
      <c r="E60" s="351"/>
      <c r="F60" s="351"/>
      <c r="G60" s="352"/>
      <c r="I60" s="350" t="s">
        <v>214</v>
      </c>
      <c r="J60" s="351"/>
      <c r="K60" s="352"/>
      <c r="L60" s="44"/>
      <c r="M60" s="354" t="s">
        <v>215</v>
      </c>
      <c r="N60" s="355"/>
    </row>
    <row r="61" spans="4:14" ht="19.95" customHeight="1" x14ac:dyDescent="0.25">
      <c r="D61" t="s">
        <v>216</v>
      </c>
      <c r="F61">
        <f>LEN(TRIM(D60))-LEN(SUBSTITUTE(D60," ",""))+1</f>
        <v>7</v>
      </c>
      <c r="I61" t="s">
        <v>216</v>
      </c>
      <c r="J61">
        <f>LEN(TRIM(I60))-LEN(SUBSTITUTE(I60," ",""))+1</f>
        <v>7</v>
      </c>
      <c r="M61" s="42" t="s">
        <v>216</v>
      </c>
      <c r="N61">
        <f>LEN(TRIM(M60))-LEN(SUBSTITUTE(M60," ",""))+1</f>
        <v>8</v>
      </c>
    </row>
    <row r="64" spans="4:14" ht="16.2" customHeight="1" thickBot="1" x14ac:dyDescent="0.35">
      <c r="D64" s="353" t="s">
        <v>212</v>
      </c>
      <c r="E64" s="353"/>
      <c r="F64" s="353"/>
      <c r="G64" s="353"/>
      <c r="I64" s="353" t="s">
        <v>213</v>
      </c>
      <c r="J64" s="353"/>
      <c r="K64" s="353"/>
      <c r="L64" s="43"/>
      <c r="M64" s="103" t="s">
        <v>72</v>
      </c>
      <c r="N64" s="103"/>
    </row>
    <row r="65" spans="4:14" ht="182.7" customHeight="1" thickBot="1" x14ac:dyDescent="0.3">
      <c r="D65" s="350" t="s">
        <v>214</v>
      </c>
      <c r="E65" s="351"/>
      <c r="F65" s="351"/>
      <c r="G65" s="352"/>
      <c r="I65" s="350" t="s">
        <v>214</v>
      </c>
      <c r="J65" s="351"/>
      <c r="K65" s="352"/>
      <c r="L65" s="44"/>
      <c r="M65" s="354" t="s">
        <v>215</v>
      </c>
      <c r="N65" s="355"/>
    </row>
    <row r="66" spans="4:14" ht="13.95" customHeight="1" x14ac:dyDescent="0.25">
      <c r="D66" t="s">
        <v>216</v>
      </c>
      <c r="E66" t="s">
        <v>216</v>
      </c>
      <c r="F66">
        <f>LEN(TRIM(D65))-LEN(SUBSTITUTE(D65," ",""))+1</f>
        <v>7</v>
      </c>
      <c r="I66" t="s">
        <v>216</v>
      </c>
      <c r="J66">
        <f>LEN(TRIM(I65))-LEN(SUBSTITUTE(I65," ",""))+1</f>
        <v>7</v>
      </c>
      <c r="M66" s="42" t="s">
        <v>216</v>
      </c>
      <c r="N66">
        <f>LEN(TRIM(M65))-LEN(SUBSTITUTE(M65," ",""))+1</f>
        <v>8</v>
      </c>
    </row>
    <row r="68" spans="4:14" ht="31.2" customHeight="1" thickBot="1" x14ac:dyDescent="0.35">
      <c r="D68" s="353" t="s">
        <v>212</v>
      </c>
      <c r="E68" s="353"/>
      <c r="F68" s="353"/>
      <c r="G68" s="353"/>
      <c r="I68" s="353" t="s">
        <v>213</v>
      </c>
      <c r="J68" s="353"/>
      <c r="K68" s="353"/>
      <c r="M68" s="103" t="s">
        <v>72</v>
      </c>
      <c r="N68" s="103"/>
    </row>
    <row r="69" spans="4:14" ht="180" customHeight="1" thickBot="1" x14ac:dyDescent="0.3">
      <c r="D69" s="350" t="s">
        <v>214</v>
      </c>
      <c r="E69" s="351"/>
      <c r="F69" s="351"/>
      <c r="G69" s="352"/>
      <c r="I69" s="350" t="s">
        <v>214</v>
      </c>
      <c r="J69" s="351"/>
      <c r="K69" s="352"/>
      <c r="M69" s="354" t="s">
        <v>215</v>
      </c>
      <c r="N69" s="355"/>
    </row>
    <row r="70" spans="4:14" ht="18.45" customHeight="1" x14ac:dyDescent="0.25">
      <c r="D70" t="s">
        <v>216</v>
      </c>
      <c r="E70" t="s">
        <v>216</v>
      </c>
      <c r="F70">
        <f>LEN(TRIM(D69))-LEN(SUBSTITUTE(D69," ",""))+1</f>
        <v>7</v>
      </c>
      <c r="I70" t="s">
        <v>216</v>
      </c>
      <c r="J70">
        <f>LEN(TRIM(I69))-LEN(SUBSTITUTE(I69," ",""))+1</f>
        <v>7</v>
      </c>
      <c r="M70" s="42" t="s">
        <v>216</v>
      </c>
      <c r="N70">
        <f>LEN(TRIM(M69))-LEN(SUBSTITUTE(M69," ",""))+1</f>
        <v>8</v>
      </c>
    </row>
    <row r="73" spans="4:14" ht="15.45" customHeight="1" thickBot="1" x14ac:dyDescent="0.35">
      <c r="D73" s="353" t="s">
        <v>212</v>
      </c>
      <c r="E73" s="353"/>
      <c r="F73" s="353"/>
      <c r="G73" s="353"/>
      <c r="I73" s="353" t="s">
        <v>213</v>
      </c>
      <c r="J73" s="353"/>
      <c r="K73" s="353"/>
      <c r="M73" s="103" t="s">
        <v>72</v>
      </c>
      <c r="N73" s="103"/>
    </row>
    <row r="74" spans="4:14" ht="189.45" customHeight="1" thickBot="1" x14ac:dyDescent="0.3">
      <c r="D74" s="350" t="s">
        <v>214</v>
      </c>
      <c r="E74" s="351"/>
      <c r="F74" s="351"/>
      <c r="G74" s="352"/>
      <c r="I74" s="350" t="s">
        <v>214</v>
      </c>
      <c r="J74" s="351"/>
      <c r="K74" s="352"/>
      <c r="M74" s="354" t="s">
        <v>215</v>
      </c>
      <c r="N74" s="355"/>
    </row>
    <row r="75" spans="4:14" ht="16.95" customHeight="1" x14ac:dyDescent="0.25">
      <c r="D75" t="s">
        <v>216</v>
      </c>
      <c r="E75" t="s">
        <v>216</v>
      </c>
      <c r="F75">
        <f>LEN(TRIM(D74))-LEN(SUBSTITUTE(D74," ",""))+1</f>
        <v>7</v>
      </c>
      <c r="I75" t="s">
        <v>216</v>
      </c>
      <c r="J75">
        <f>LEN(TRIM(I74))-LEN(SUBSTITUTE(I74," ",""))+1</f>
        <v>7</v>
      </c>
      <c r="M75" s="42" t="s">
        <v>216</v>
      </c>
      <c r="N75">
        <f>LEN(TRIM(M74))-LEN(SUBSTITUTE(M74," ",""))+1</f>
        <v>8</v>
      </c>
    </row>
    <row r="79" spans="4:14" ht="16.2" customHeight="1" thickBot="1" x14ac:dyDescent="0.35">
      <c r="D79" s="353" t="s">
        <v>212</v>
      </c>
      <c r="E79" s="353"/>
      <c r="F79" s="353"/>
      <c r="G79" s="353"/>
      <c r="I79" s="43" t="s">
        <v>213</v>
      </c>
      <c r="M79" s="103" t="s">
        <v>72</v>
      </c>
      <c r="N79" s="103"/>
    </row>
    <row r="80" spans="4:14" ht="208.2" customHeight="1" thickBot="1" x14ac:dyDescent="0.3">
      <c r="D80" s="350" t="s">
        <v>214</v>
      </c>
      <c r="E80" s="351"/>
      <c r="F80" s="351"/>
      <c r="G80" s="352"/>
      <c r="I80" s="350" t="s">
        <v>214</v>
      </c>
      <c r="J80" s="351"/>
      <c r="K80" s="352"/>
      <c r="M80" s="354" t="s">
        <v>215</v>
      </c>
      <c r="N80" s="355"/>
    </row>
    <row r="81" spans="1:14" ht="13.95" customHeight="1" x14ac:dyDescent="0.25">
      <c r="D81" t="s">
        <v>216</v>
      </c>
      <c r="E81" t="s">
        <v>216</v>
      </c>
      <c r="F81">
        <f>LEN(TRIM(D80))-LEN(SUBSTITUTE(D80," ",""))+1</f>
        <v>7</v>
      </c>
      <c r="I81" t="s">
        <v>216</v>
      </c>
      <c r="J81">
        <f>LEN(TRIM(I80))-LEN(SUBSTITUTE(I80," ",""))+1</f>
        <v>7</v>
      </c>
      <c r="M81" s="42" t="s">
        <v>216</v>
      </c>
      <c r="N81">
        <f>LEN(TRIM(M80))-LEN(SUBSTITUTE(M80," ",""))+1</f>
        <v>8</v>
      </c>
    </row>
    <row r="83" spans="1:14" x14ac:dyDescent="0.25">
      <c r="A83" s="178"/>
      <c r="B83" s="177"/>
    </row>
    <row r="85" spans="1:14" x14ac:dyDescent="0.25">
      <c r="B85" s="174"/>
    </row>
  </sheetData>
  <sheetProtection algorithmName="SHA-512" hashValue="vM2DScyZfGFlQ0Mz2hXRgM5TEfPE5EbN5RLiv0XwlvsNpb+jSQZLKODeNgeR2KbnJEH2MilHrp+Du+BJWEBTEw==" saltValue="F7MFWB61QobqJX8UG+XsfA==" spinCount="100000" sheet="1" objects="1" scenarios="1" selectLockedCells="1"/>
  <mergeCells count="54">
    <mergeCell ref="D68:G68"/>
    <mergeCell ref="D73:G73"/>
    <mergeCell ref="D74:G74"/>
    <mergeCell ref="D79:G79"/>
    <mergeCell ref="D80:G80"/>
    <mergeCell ref="M44:N44"/>
    <mergeCell ref="M48:N48"/>
    <mergeCell ref="M52:N52"/>
    <mergeCell ref="M56:N56"/>
    <mergeCell ref="D65:G65"/>
    <mergeCell ref="I59:K59"/>
    <mergeCell ref="I60:K60"/>
    <mergeCell ref="D55:G55"/>
    <mergeCell ref="D56:G56"/>
    <mergeCell ref="D59:G59"/>
    <mergeCell ref="D60:G60"/>
    <mergeCell ref="D64:G64"/>
    <mergeCell ref="D44:G44"/>
    <mergeCell ref="D47:G47"/>
    <mergeCell ref="D48:G48"/>
    <mergeCell ref="D51:G51"/>
    <mergeCell ref="I55:K55"/>
    <mergeCell ref="I56:K56"/>
    <mergeCell ref="I43:J43"/>
    <mergeCell ref="I44:K44"/>
    <mergeCell ref="I47:K47"/>
    <mergeCell ref="I48:K48"/>
    <mergeCell ref="I51:K51"/>
    <mergeCell ref="A27:E27"/>
    <mergeCell ref="F27:I27"/>
    <mergeCell ref="D43:G43"/>
    <mergeCell ref="I52:K52"/>
    <mergeCell ref="D52:G52"/>
    <mergeCell ref="I80:K80"/>
    <mergeCell ref="I73:K73"/>
    <mergeCell ref="I74:K74"/>
    <mergeCell ref="B2:F2"/>
    <mergeCell ref="I68:K68"/>
    <mergeCell ref="I69:K69"/>
    <mergeCell ref="I64:K64"/>
    <mergeCell ref="I65:K65"/>
    <mergeCell ref="D69:G69"/>
    <mergeCell ref="A14:D14"/>
    <mergeCell ref="A40:E40"/>
    <mergeCell ref="A38:C38"/>
    <mergeCell ref="A24:F24"/>
    <mergeCell ref="A41:E41"/>
    <mergeCell ref="A25:D25"/>
    <mergeCell ref="E26:G26"/>
    <mergeCell ref="M60:N60"/>
    <mergeCell ref="M65:N65"/>
    <mergeCell ref="M69:N69"/>
    <mergeCell ref="M74:N74"/>
    <mergeCell ref="M80:N80"/>
  </mergeCells>
  <dataValidations count="1">
    <dataValidation type="custom" allowBlank="1" showErrorMessage="1" error="Le nombre de mots de cette zone de commentaire semble être supérieur à 150" sqref="D44:G44 M80:N80 M74:N74 M69:N69 M65:N65 M60:N60 M56:N56 M52:N52 M48:N48 M44:N44 I80:K80 I74:K74 I69:K69 I65:K65 I60:K60 I56:K56 I52:K52 I48:K48 I44:K44 D80:G80 D74:G74 D69:G69 D65:G65 D60:G60 D56:G56 D52:G52 D48:G48" xr:uid="{0F05E73F-9713-438F-AC0B-13FCD955DA68}">
      <formula1>LEN(TRIM(D44))-LEN(SUBSTITUTE(D44," ",""))+1&lt;=150</formula1>
    </dataValidation>
  </dataValidations>
  <pageMargins left="0.7" right="0.7" top="0.75" bottom="0.75" header="0.3" footer="0.3"/>
  <pageSetup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CAB92C19-07DC-4BA6-BA8E-111B998623B1}">
          <x14:formula1>
            <xm:f>Feuil_M!$A$3:$A$8</xm:f>
          </x14:formula1>
          <xm:sqref>D29:D37 F29:F37 B29:B37 H29:H37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A3338-5595-4F8B-8EAA-BF2E67272723}">
  <sheetPr codeName="Feuil7">
    <tabColor rgb="FFC1C2DA"/>
  </sheetPr>
  <dimension ref="A1:N84"/>
  <sheetViews>
    <sheetView showGridLines="0" showRowColHeaders="0" zoomScale="65" zoomScaleNormal="65" workbookViewId="0">
      <selection activeCell="B29" sqref="B29"/>
    </sheetView>
  </sheetViews>
  <sheetFormatPr baseColWidth="10" defaultColWidth="11" defaultRowHeight="13.8" x14ac:dyDescent="0.25"/>
  <cols>
    <col min="1" max="1" width="26.69921875" customWidth="1"/>
    <col min="2" max="2" width="27.69921875" customWidth="1"/>
    <col min="3" max="3" width="14.19921875" hidden="1" customWidth="1"/>
    <col min="4" max="4" width="27.69921875" customWidth="1"/>
    <col min="5" max="5" width="32.69921875" hidden="1" customWidth="1"/>
    <col min="6" max="7" width="27.69921875" customWidth="1"/>
    <col min="8" max="8" width="32.69921875" customWidth="1"/>
    <col min="9" max="11" width="30.69921875" customWidth="1"/>
    <col min="12" max="12" width="15.69921875" customWidth="1"/>
    <col min="13" max="14" width="40.69921875" customWidth="1"/>
  </cols>
  <sheetData>
    <row r="1" spans="1:8" ht="21" customHeight="1" x14ac:dyDescent="0.25">
      <c r="A1" s="9"/>
    </row>
    <row r="2" spans="1:8" ht="22.2" customHeight="1" x14ac:dyDescent="0.25">
      <c r="A2" s="9"/>
      <c r="B2" s="373" t="s">
        <v>0</v>
      </c>
      <c r="C2" s="373"/>
      <c r="D2" s="373"/>
      <c r="E2" s="373"/>
      <c r="F2" s="373"/>
    </row>
    <row r="3" spans="1:8" ht="21.45" customHeight="1" x14ac:dyDescent="0.25">
      <c r="A3" s="9"/>
    </row>
    <row r="13" spans="1:8" ht="13.95" customHeight="1" x14ac:dyDescent="0.25"/>
    <row r="14" spans="1:8" ht="22.95" customHeight="1" x14ac:dyDescent="0.4">
      <c r="A14" s="361" t="s">
        <v>193</v>
      </c>
      <c r="B14" s="314"/>
      <c r="C14" s="314"/>
      <c r="D14" s="314"/>
    </row>
    <row r="15" spans="1:8" ht="14.4" customHeight="1" thickBot="1" x14ac:dyDescent="0.3"/>
    <row r="16" spans="1:8" ht="31.95" customHeight="1" x14ac:dyDescent="0.3">
      <c r="A16" s="39" t="s">
        <v>6</v>
      </c>
      <c r="B16" s="39" t="s">
        <v>47</v>
      </c>
      <c r="C16" s="87"/>
      <c r="D16" s="39" t="s">
        <v>7</v>
      </c>
      <c r="F16" s="39" t="s">
        <v>8</v>
      </c>
      <c r="G16" s="39" t="s">
        <v>9</v>
      </c>
      <c r="H16" s="39" t="s">
        <v>10</v>
      </c>
    </row>
    <row r="17" spans="1:13" ht="31.95" customHeight="1" thickBot="1" x14ac:dyDescent="0.3">
      <c r="A17" s="47" t="s">
        <v>195</v>
      </c>
      <c r="B17" s="277" t="s">
        <v>11</v>
      </c>
      <c r="C17" s="278"/>
      <c r="D17" s="277" t="s">
        <v>12</v>
      </c>
      <c r="E17" s="276"/>
      <c r="F17" s="277" t="s">
        <v>13</v>
      </c>
      <c r="G17" s="277" t="s">
        <v>14</v>
      </c>
      <c r="H17" s="277" t="s">
        <v>15</v>
      </c>
    </row>
    <row r="18" spans="1:13" ht="31.95" customHeight="1" thickBot="1" x14ac:dyDescent="0.3">
      <c r="A18" s="47" t="s">
        <v>16</v>
      </c>
      <c r="B18" s="284" t="s">
        <v>200</v>
      </c>
      <c r="C18" s="279"/>
      <c r="D18" s="284" t="s">
        <v>201</v>
      </c>
      <c r="E18" s="276"/>
      <c r="F18" s="280" t="s">
        <v>17</v>
      </c>
      <c r="G18" s="280" t="s">
        <v>18</v>
      </c>
      <c r="H18" s="280" t="s">
        <v>19</v>
      </c>
    </row>
    <row r="19" spans="1:13" ht="31.95" customHeight="1" thickBot="1" x14ac:dyDescent="0.3">
      <c r="A19" s="88" t="s">
        <v>20</v>
      </c>
      <c r="B19" s="281" t="s">
        <v>21</v>
      </c>
      <c r="C19" s="282"/>
      <c r="D19" s="281" t="s">
        <v>187</v>
      </c>
      <c r="E19" s="276"/>
      <c r="F19" s="281" t="s">
        <v>188</v>
      </c>
      <c r="G19" s="281" t="s">
        <v>194</v>
      </c>
      <c r="H19" s="281" t="s">
        <v>22</v>
      </c>
    </row>
    <row r="20" spans="1:13" ht="13.95" customHeight="1" x14ac:dyDescent="0.25"/>
    <row r="23" spans="1:13" ht="13.95" customHeight="1" x14ac:dyDescent="0.25"/>
    <row r="24" spans="1:13" ht="22.95" customHeight="1" x14ac:dyDescent="0.4">
      <c r="A24" s="368" t="s">
        <v>207</v>
      </c>
      <c r="B24" s="368"/>
      <c r="C24" s="368"/>
      <c r="D24" s="368"/>
      <c r="E24" s="368"/>
      <c r="F24" s="368"/>
    </row>
    <row r="25" spans="1:13" ht="19.2" customHeight="1" x14ac:dyDescent="0.3">
      <c r="A25" s="367" t="s">
        <v>48</v>
      </c>
      <c r="B25" s="367"/>
      <c r="C25" s="367"/>
      <c r="D25" s="367"/>
      <c r="I25" s="1"/>
      <c r="J25" s="1"/>
      <c r="K25" s="1"/>
      <c r="L25" s="1"/>
      <c r="M25" s="1"/>
    </row>
    <row r="26" spans="1:13" ht="15.6" thickBot="1" x14ac:dyDescent="0.3">
      <c r="E26" s="366"/>
      <c r="F26" s="366"/>
      <c r="G26" s="366"/>
      <c r="I26" s="1"/>
      <c r="J26" s="1"/>
      <c r="K26" s="1"/>
      <c r="L26" s="1"/>
      <c r="M26" s="1"/>
    </row>
    <row r="27" spans="1:13" ht="22.2" customHeight="1" thickTop="1" thickBot="1" x14ac:dyDescent="0.45">
      <c r="A27" s="401" t="s">
        <v>49</v>
      </c>
      <c r="B27" s="402"/>
      <c r="C27" s="402"/>
      <c r="D27" s="402"/>
      <c r="E27" s="33"/>
      <c r="F27" s="403" t="s">
        <v>50</v>
      </c>
      <c r="G27" s="402"/>
      <c r="H27" s="402"/>
      <c r="I27" s="404"/>
      <c r="J27" s="1"/>
      <c r="K27" s="1"/>
      <c r="L27" s="1"/>
      <c r="M27" s="1"/>
    </row>
    <row r="28" spans="1:13" ht="34.950000000000003" customHeight="1" thickBot="1" x14ac:dyDescent="0.35">
      <c r="A28" s="18" t="s">
        <v>233</v>
      </c>
      <c r="B28" s="121" t="s">
        <v>51</v>
      </c>
      <c r="C28" s="111" t="s">
        <v>52</v>
      </c>
      <c r="D28" s="124" t="s">
        <v>191</v>
      </c>
      <c r="E28" s="125" t="s">
        <v>53</v>
      </c>
      <c r="F28" s="129" t="s">
        <v>54</v>
      </c>
      <c r="G28" s="112" t="s">
        <v>55</v>
      </c>
      <c r="H28" s="13" t="s">
        <v>209</v>
      </c>
      <c r="I28" s="112" t="s">
        <v>56</v>
      </c>
      <c r="J28" t="s">
        <v>57</v>
      </c>
    </row>
    <row r="29" spans="1:13" ht="18" thickBot="1" x14ac:dyDescent="0.35">
      <c r="A29" s="19" t="s">
        <v>58</v>
      </c>
      <c r="B29" s="295" t="s">
        <v>61</v>
      </c>
      <c r="C29" s="49" t="str">
        <f>VLOOKUP(Tableau6[[#This Row],[Personne enseignante]],Feuil_M!$A$3:$B$8,2,FALSE)</f>
        <v>-</v>
      </c>
      <c r="D29" s="304" t="s">
        <v>61</v>
      </c>
      <c r="E29" s="65" t="str">
        <f>VLOOKUP(Tableau6[[#This Row],[Responsable de l’encadrement]],Feuil_M!$A$3:$B$8,2,FALSE)</f>
        <v>-</v>
      </c>
      <c r="F29" s="303" t="s">
        <v>61</v>
      </c>
      <c r="G29" s="49" t="str">
        <f>VLOOKUP(Tableau6[[#This Row],[Personne enseignante2]],Feuil_M!$A$3:$B$8,2,FALSE)</f>
        <v>-</v>
      </c>
      <c r="H29" s="295" t="s">
        <v>61</v>
      </c>
      <c r="I29" s="50" t="str">
        <f>VLOOKUP(Tableau6[[#This Row],[Responsable de l’encadrement2]],Feuil_M!$A$3:$B$8,2,FALSE)</f>
        <v>-</v>
      </c>
    </row>
    <row r="30" spans="1:13" ht="18" thickBot="1" x14ac:dyDescent="0.35">
      <c r="A30" s="19" t="s">
        <v>62</v>
      </c>
      <c r="B30" s="295" t="s">
        <v>61</v>
      </c>
      <c r="C30" s="49" t="str">
        <f>VLOOKUP(Tableau6[[#This Row],[Personne enseignante]],Feuil_M!$A$3:$B$8,2,FALSE)</f>
        <v>-</v>
      </c>
      <c r="D30" s="304" t="s">
        <v>61</v>
      </c>
      <c r="E30" s="65" t="str">
        <f>VLOOKUP(Tableau6[[#This Row],[Responsable de l’encadrement]],Feuil_M!$A$3:$B$8,2,FALSE)</f>
        <v>-</v>
      </c>
      <c r="F30" s="303" t="s">
        <v>61</v>
      </c>
      <c r="G30" s="49" t="str">
        <f>VLOOKUP(Tableau6[[#This Row],[Personne enseignante2]],Feuil_M!$A$3:$B$8,2,FALSE)</f>
        <v>-</v>
      </c>
      <c r="H30" s="295" t="s">
        <v>61</v>
      </c>
      <c r="I30" s="50" t="str">
        <f>VLOOKUP(Tableau6[[#This Row],[Responsable de l’encadrement2]],Feuil_M!$A$3:$B$8,2,FALSE)</f>
        <v>-</v>
      </c>
    </row>
    <row r="31" spans="1:13" ht="18" thickBot="1" x14ac:dyDescent="0.35">
      <c r="A31" s="19" t="s">
        <v>64</v>
      </c>
      <c r="B31" s="295" t="s">
        <v>61</v>
      </c>
      <c r="C31" s="49" t="str">
        <f>VLOOKUP(Tableau6[[#This Row],[Personne enseignante]],Feuil_M!$A$3:$B$8,2,FALSE)</f>
        <v>-</v>
      </c>
      <c r="D31" s="304" t="s">
        <v>61</v>
      </c>
      <c r="E31" s="65" t="str">
        <f>VLOOKUP(Tableau6[[#This Row],[Responsable de l’encadrement]],Feuil_M!$A$3:$B$8,2,FALSE)</f>
        <v>-</v>
      </c>
      <c r="F31" s="303" t="s">
        <v>61</v>
      </c>
      <c r="G31" s="49" t="str">
        <f>VLOOKUP(Tableau6[[#This Row],[Personne enseignante2]],Feuil_M!$A$3:$B$8,2,FALSE)</f>
        <v>-</v>
      </c>
      <c r="H31" s="295" t="s">
        <v>61</v>
      </c>
      <c r="I31" s="50" t="str">
        <f>VLOOKUP(Tableau6[[#This Row],[Responsable de l’encadrement2]],Feuil_M!$A$3:$B$8,2,FALSE)</f>
        <v>-</v>
      </c>
    </row>
    <row r="32" spans="1:13" ht="18" thickBot="1" x14ac:dyDescent="0.35">
      <c r="A32" s="19" t="s">
        <v>65</v>
      </c>
      <c r="B32" s="295" t="s">
        <v>61</v>
      </c>
      <c r="C32" s="49" t="str">
        <f>VLOOKUP(Tableau6[[#This Row],[Personne enseignante]],Feuil_M!$A$3:$B$8,2,FALSE)</f>
        <v>-</v>
      </c>
      <c r="D32" s="304" t="s">
        <v>61</v>
      </c>
      <c r="E32" s="65" t="str">
        <f>VLOOKUP(Tableau6[[#This Row],[Responsable de l’encadrement]],Feuil_M!$A$3:$B$8,2,FALSE)</f>
        <v>-</v>
      </c>
      <c r="F32" s="303" t="s">
        <v>61</v>
      </c>
      <c r="G32" s="49" t="str">
        <f>VLOOKUP(Tableau6[[#This Row],[Personne enseignante2]],Feuil_M!$A$3:$B$8,2,FALSE)</f>
        <v>-</v>
      </c>
      <c r="H32" s="295" t="s">
        <v>61</v>
      </c>
      <c r="I32" s="50" t="str">
        <f>VLOOKUP(Tableau6[[#This Row],[Responsable de l’encadrement2]],Feuil_M!$A$3:$B$8,2,FALSE)</f>
        <v>-</v>
      </c>
    </row>
    <row r="33" spans="1:14" ht="18" thickBot="1" x14ac:dyDescent="0.35">
      <c r="A33" s="19" t="s">
        <v>67</v>
      </c>
      <c r="B33" s="295" t="s">
        <v>61</v>
      </c>
      <c r="C33" s="49" t="str">
        <f>VLOOKUP(Tableau6[[#This Row],[Personne enseignante]],Feuil_M!$A$3:$B$8,2,FALSE)</f>
        <v>-</v>
      </c>
      <c r="D33" s="304" t="s">
        <v>61</v>
      </c>
      <c r="E33" s="65" t="str">
        <f>VLOOKUP(Tableau6[[#This Row],[Responsable de l’encadrement]],Feuil_M!$A$3:$B$8,2,FALSE)</f>
        <v>-</v>
      </c>
      <c r="F33" s="303" t="s">
        <v>61</v>
      </c>
      <c r="G33" s="49" t="str">
        <f>VLOOKUP(Tableau6[[#This Row],[Personne enseignante2]],Feuil_M!$A$3:$B$8,2,FALSE)</f>
        <v>-</v>
      </c>
      <c r="H33" s="295" t="s">
        <v>61</v>
      </c>
      <c r="I33" s="50" t="str">
        <f>VLOOKUP(Tableau6[[#This Row],[Responsable de l’encadrement2]],Feuil_M!$A$3:$B$8,2,FALSE)</f>
        <v>-</v>
      </c>
    </row>
    <row r="34" spans="1:14" ht="18" thickBot="1" x14ac:dyDescent="0.35">
      <c r="A34" s="19" t="s">
        <v>69</v>
      </c>
      <c r="B34" s="295" t="s">
        <v>61</v>
      </c>
      <c r="C34" s="49" t="str">
        <f>VLOOKUP(Tableau6[[#This Row],[Personne enseignante]],Feuil_M!$A$3:$B$8,2,FALSE)</f>
        <v>-</v>
      </c>
      <c r="D34" s="304" t="s">
        <v>61</v>
      </c>
      <c r="E34" s="65" t="str">
        <f>VLOOKUP(Tableau6[[#This Row],[Responsable de l’encadrement]],Feuil_M!$A$3:$B$8,2,FALSE)</f>
        <v>-</v>
      </c>
      <c r="F34" s="303" t="s">
        <v>61</v>
      </c>
      <c r="G34" s="49" t="str">
        <f>VLOOKUP(Tableau6[[#This Row],[Personne enseignante2]],Feuil_M!$A$3:$B$8,2,FALSE)</f>
        <v>-</v>
      </c>
      <c r="H34" s="295" t="s">
        <v>61</v>
      </c>
      <c r="I34" s="50" t="str">
        <f>VLOOKUP(Tableau6[[#This Row],[Responsable de l’encadrement2]],Feuil_M!$A$3:$B$8,2,FALSE)</f>
        <v>-</v>
      </c>
    </row>
    <row r="35" spans="1:14" ht="18" thickBot="1" x14ac:dyDescent="0.35">
      <c r="A35" s="19" t="s">
        <v>70</v>
      </c>
      <c r="B35" s="295" t="s">
        <v>61</v>
      </c>
      <c r="C35" s="49" t="str">
        <f>VLOOKUP(Tableau6[[#This Row],[Personne enseignante]],Feuil_M!$A$3:$B$8,2,FALSE)</f>
        <v>-</v>
      </c>
      <c r="D35" s="304" t="s">
        <v>61</v>
      </c>
      <c r="E35" s="65" t="str">
        <f>VLOOKUP(Tableau6[[#This Row],[Responsable de l’encadrement]],Feuil_M!$A$3:$B$8,2,FALSE)</f>
        <v>-</v>
      </c>
      <c r="F35" s="303" t="s">
        <v>61</v>
      </c>
      <c r="G35" s="49" t="str">
        <f>VLOOKUP(Tableau6[[#This Row],[Personne enseignante2]],Feuil_M!$A$3:$B$8,2,FALSE)</f>
        <v>-</v>
      </c>
      <c r="H35" s="295" t="s">
        <v>61</v>
      </c>
      <c r="I35" s="50" t="str">
        <f>VLOOKUP(Tableau6[[#This Row],[Responsable de l’encadrement2]],Feuil_M!$A$3:$B$8,2,FALSE)</f>
        <v>-</v>
      </c>
    </row>
    <row r="36" spans="1:14" ht="18" thickBot="1" x14ac:dyDescent="0.35">
      <c r="A36" s="19" t="s">
        <v>71</v>
      </c>
      <c r="B36" s="295" t="s">
        <v>61</v>
      </c>
      <c r="C36" s="49" t="str">
        <f>VLOOKUP(Tableau6[[#This Row],[Personne enseignante]],Feuil_M!$A$3:$B$8,2,FALSE)</f>
        <v>-</v>
      </c>
      <c r="D36" s="304" t="s">
        <v>61</v>
      </c>
      <c r="E36" s="65" t="str">
        <f>VLOOKUP(Tableau6[[#This Row],[Responsable de l’encadrement]],Feuil_M!$A$3:$B$8,2,FALSE)</f>
        <v>-</v>
      </c>
      <c r="F36" s="303" t="s">
        <v>61</v>
      </c>
      <c r="G36" s="49" t="str">
        <f>VLOOKUP(Tableau6[[#This Row],[Personne enseignante2]],Feuil_M!$A$3:$B$8,2,FALSE)</f>
        <v>-</v>
      </c>
      <c r="H36" s="295" t="s">
        <v>61</v>
      </c>
      <c r="I36" s="50" t="str">
        <f>VLOOKUP(Tableau6[[#This Row],[Responsable de l’encadrement2]],Feuil_M!$A$3:$B$8,2,FALSE)</f>
        <v>-</v>
      </c>
    </row>
    <row r="37" spans="1:14" ht="18" thickBot="1" x14ac:dyDescent="0.35">
      <c r="A37" s="71" t="s">
        <v>74</v>
      </c>
      <c r="B37" s="295" t="s">
        <v>61</v>
      </c>
      <c r="C37" s="72" t="str">
        <f>VLOOKUP(Tableau6[[#This Row],[Personne enseignante]],Feuil_M!$A$3:$B$8,2,FALSE)</f>
        <v>-</v>
      </c>
      <c r="D37" s="304" t="s">
        <v>61</v>
      </c>
      <c r="E37" s="65" t="str">
        <f>VLOOKUP(Tableau6[[#This Row],[Responsable de l’encadrement]],Feuil_M!$A$3:$B$8,2,FALSE)</f>
        <v>-</v>
      </c>
      <c r="F37" s="303" t="s">
        <v>61</v>
      </c>
      <c r="G37" s="49" t="str">
        <f>VLOOKUP(Tableau6[[#This Row],[Personne enseignante2]],Feuil_M!$A$3:$B$8,2,FALSE)</f>
        <v>-</v>
      </c>
      <c r="H37" s="295" t="s">
        <v>61</v>
      </c>
      <c r="I37" s="50" t="str">
        <f>VLOOKUP(Tableau6[[#This Row],[Responsable de l’encadrement2]],Feuil_M!$A$3:$B$8,2,FALSE)</f>
        <v>-</v>
      </c>
    </row>
    <row r="38" spans="1:14" ht="18" thickBot="1" x14ac:dyDescent="0.35">
      <c r="A38" s="363"/>
      <c r="B38" s="364"/>
      <c r="C38" s="364"/>
      <c r="D38" s="63"/>
      <c r="E38" s="35"/>
      <c r="F38" s="12"/>
      <c r="G38" s="4"/>
      <c r="H38" s="4"/>
      <c r="I38" s="17"/>
    </row>
    <row r="39" spans="1:14" ht="18" customHeight="1" thickBot="1" x14ac:dyDescent="0.35">
      <c r="A39" s="101" t="s">
        <v>211</v>
      </c>
      <c r="B39" s="54"/>
      <c r="C39" s="164" t="str">
        <f>IF(SUBTOTAL(102,Tableau6[Résultats For1])=0,"",SUBTOTAL(101,Tableau6[Résultats For1]))</f>
        <v/>
      </c>
      <c r="D39" s="67" t="s">
        <v>73</v>
      </c>
      <c r="E39" s="164" t="str">
        <f>IF(SUBTOTAL(102,Tableau6[Résultats For2])=0,"",SUBTOTAL(101,Tableau6[Résultats For2]))</f>
        <v/>
      </c>
      <c r="F39" s="52"/>
      <c r="G39" s="164" t="str">
        <f>IF(SUBTOTAL(102,Tableau6[Résultats Som1])=0,"",SUBTOTAL(101,Tableau6[Résultats Som1]))</f>
        <v/>
      </c>
      <c r="H39" s="51"/>
      <c r="I39" s="165" t="str">
        <f>IF(SUBTOTAL(102,Tableau6[Résultats Som2])=0,"",SUBTOTAL(101,Tableau6[Résultats Som2]))</f>
        <v/>
      </c>
    </row>
    <row r="41" spans="1:14" x14ac:dyDescent="0.25">
      <c r="B41" t="s">
        <v>57</v>
      </c>
      <c r="F41" s="1"/>
      <c r="G41" s="1"/>
      <c r="H41" s="1"/>
      <c r="I41" s="1"/>
      <c r="J41" s="1"/>
      <c r="K41" s="1"/>
      <c r="L41" s="1"/>
      <c r="M41" s="1"/>
    </row>
    <row r="42" spans="1:14" ht="31.95" customHeight="1" x14ac:dyDescent="0.3">
      <c r="A42" s="314" t="s">
        <v>232</v>
      </c>
      <c r="B42" s="314"/>
      <c r="C42" s="314"/>
      <c r="D42" s="314"/>
      <c r="E42" s="314"/>
      <c r="F42" s="1"/>
      <c r="G42" s="1"/>
      <c r="H42" s="1"/>
      <c r="I42" s="1"/>
      <c r="J42" s="1"/>
      <c r="K42" s="1"/>
      <c r="L42" s="1"/>
      <c r="M42" s="1"/>
    </row>
    <row r="43" spans="1:14" ht="12" customHeight="1" x14ac:dyDescent="0.25">
      <c r="G43" s="1"/>
      <c r="H43" s="1"/>
      <c r="I43" s="1"/>
      <c r="J43" s="1"/>
      <c r="K43" s="1"/>
    </row>
    <row r="44" spans="1:14" ht="12.6" customHeight="1" thickBot="1" x14ac:dyDescent="0.35">
      <c r="D44" s="369" t="s">
        <v>212</v>
      </c>
      <c r="E44" s="369"/>
      <c r="F44" s="369"/>
      <c r="G44" s="369"/>
      <c r="I44" s="353" t="s">
        <v>213</v>
      </c>
      <c r="J44" s="353"/>
      <c r="M44" s="103" t="s">
        <v>72</v>
      </c>
      <c r="N44" s="103"/>
    </row>
    <row r="45" spans="1:14" ht="168" customHeight="1" thickBot="1" x14ac:dyDescent="0.3">
      <c r="D45" s="350" t="s">
        <v>214</v>
      </c>
      <c r="E45" s="351"/>
      <c r="F45" s="351"/>
      <c r="G45" s="352"/>
      <c r="I45" s="350" t="s">
        <v>214</v>
      </c>
      <c r="J45" s="351"/>
      <c r="K45" s="352"/>
      <c r="M45" s="354" t="s">
        <v>215</v>
      </c>
      <c r="N45" s="355"/>
    </row>
    <row r="46" spans="1:14" ht="14.7" customHeight="1" x14ac:dyDescent="0.25">
      <c r="D46" t="s">
        <v>216</v>
      </c>
      <c r="F46">
        <f>LEN(TRIM(D45))-LEN(SUBSTITUTE(D45," ",""))+1</f>
        <v>7</v>
      </c>
      <c r="I46" t="s">
        <v>216</v>
      </c>
      <c r="J46">
        <f>LEN(TRIM(I45))-LEN(SUBSTITUTE(I45," ",""))+1</f>
        <v>7</v>
      </c>
      <c r="M46" s="42" t="s">
        <v>216</v>
      </c>
      <c r="N46">
        <f>LEN(TRIM(M45))-LEN(SUBSTITUTE(M45," ",""))+1</f>
        <v>8</v>
      </c>
    </row>
    <row r="47" spans="1:14" ht="13.95" customHeight="1" x14ac:dyDescent="0.25">
      <c r="E47" s="16"/>
      <c r="G47" s="16"/>
      <c r="J47" s="1"/>
    </row>
    <row r="48" spans="1:14" ht="15.45" customHeight="1" thickBot="1" x14ac:dyDescent="0.35">
      <c r="D48" s="369" t="s">
        <v>212</v>
      </c>
      <c r="E48" s="369"/>
      <c r="F48" s="369"/>
      <c r="G48" s="369"/>
      <c r="I48" s="353" t="s">
        <v>213</v>
      </c>
      <c r="J48" s="353"/>
      <c r="K48" s="353"/>
      <c r="M48" s="103" t="s">
        <v>72</v>
      </c>
      <c r="N48" s="103"/>
    </row>
    <row r="49" spans="3:14" ht="161.69999999999999" customHeight="1" thickBot="1" x14ac:dyDescent="0.3">
      <c r="D49" s="350" t="s">
        <v>214</v>
      </c>
      <c r="E49" s="351"/>
      <c r="F49" s="351"/>
      <c r="G49" s="352"/>
      <c r="I49" s="350" t="s">
        <v>214</v>
      </c>
      <c r="J49" s="351"/>
      <c r="K49" s="352"/>
      <c r="M49" s="354" t="s">
        <v>215</v>
      </c>
      <c r="N49" s="355"/>
    </row>
    <row r="50" spans="3:14" ht="14.7" customHeight="1" x14ac:dyDescent="0.25">
      <c r="D50" t="s">
        <v>216</v>
      </c>
      <c r="F50">
        <f>LEN(TRIM(D49))-LEN(SUBSTITUTE(D49," ",""))+1</f>
        <v>7</v>
      </c>
      <c r="I50" t="s">
        <v>216</v>
      </c>
      <c r="J50">
        <f>LEN(TRIM(I49))-LEN(SUBSTITUTE(I49," ",""))+1</f>
        <v>7</v>
      </c>
      <c r="M50" s="42" t="s">
        <v>216</v>
      </c>
      <c r="N50">
        <f>LEN(TRIM(M49))-LEN(SUBSTITUTE(M49," ",""))+1</f>
        <v>8</v>
      </c>
    </row>
    <row r="51" spans="3:14" ht="13.95" customHeight="1" x14ac:dyDescent="0.25"/>
    <row r="52" spans="3:14" ht="15.45" customHeight="1" thickBot="1" x14ac:dyDescent="0.35">
      <c r="D52" s="353" t="s">
        <v>212</v>
      </c>
      <c r="E52" s="353"/>
      <c r="F52" s="353"/>
      <c r="G52" s="353"/>
      <c r="I52" s="353" t="s">
        <v>213</v>
      </c>
      <c r="J52" s="353"/>
      <c r="K52" s="353"/>
      <c r="M52" s="103" t="s">
        <v>72</v>
      </c>
      <c r="N52" s="103"/>
    </row>
    <row r="53" spans="3:14" ht="166.2" customHeight="1" thickBot="1" x14ac:dyDescent="0.3">
      <c r="D53" s="350" t="s">
        <v>214</v>
      </c>
      <c r="E53" s="351"/>
      <c r="F53" s="351"/>
      <c r="G53" s="352"/>
      <c r="I53" s="350" t="s">
        <v>214</v>
      </c>
      <c r="J53" s="351"/>
      <c r="K53" s="352"/>
      <c r="M53" s="354" t="s">
        <v>215</v>
      </c>
      <c r="N53" s="355"/>
    </row>
    <row r="54" spans="3:14" ht="19.95" customHeight="1" x14ac:dyDescent="0.25">
      <c r="C54" t="s">
        <v>216</v>
      </c>
      <c r="D54" t="s">
        <v>216</v>
      </c>
      <c r="F54">
        <f>LEN(TRIM(D53))-LEN(SUBSTITUTE(D53," ",""))+1</f>
        <v>7</v>
      </c>
      <c r="I54" t="s">
        <v>216</v>
      </c>
      <c r="J54">
        <f>LEN(TRIM(I53))-LEN(SUBSTITUTE(I53," ",""))+1</f>
        <v>7</v>
      </c>
      <c r="M54" s="42" t="s">
        <v>216</v>
      </c>
      <c r="N54">
        <f>LEN(TRIM(M53))-LEN(SUBSTITUTE(M53," ",""))+1</f>
        <v>8</v>
      </c>
    </row>
    <row r="55" spans="3:14" x14ac:dyDescent="0.25">
      <c r="E55" s="16"/>
      <c r="G55" s="16"/>
    </row>
    <row r="56" spans="3:14" ht="16.2" customHeight="1" thickBot="1" x14ac:dyDescent="0.35">
      <c r="D56" s="353" t="s">
        <v>212</v>
      </c>
      <c r="E56" s="353"/>
      <c r="F56" s="353"/>
      <c r="G56" s="353"/>
      <c r="I56" s="353" t="s">
        <v>213</v>
      </c>
      <c r="J56" s="353"/>
      <c r="K56" s="353"/>
      <c r="M56" s="103" t="s">
        <v>72</v>
      </c>
      <c r="N56" s="103"/>
    </row>
    <row r="57" spans="3:14" ht="183" customHeight="1" thickBot="1" x14ac:dyDescent="0.3">
      <c r="D57" s="350" t="s">
        <v>214</v>
      </c>
      <c r="E57" s="351"/>
      <c r="F57" s="351"/>
      <c r="G57" s="352"/>
      <c r="I57" s="350" t="s">
        <v>214</v>
      </c>
      <c r="J57" s="351"/>
      <c r="K57" s="352"/>
      <c r="M57" s="354" t="s">
        <v>215</v>
      </c>
      <c r="N57" s="355"/>
    </row>
    <row r="58" spans="3:14" ht="13.95" customHeight="1" x14ac:dyDescent="0.25">
      <c r="D58" t="s">
        <v>216</v>
      </c>
      <c r="F58">
        <f>LEN(TRIM(D57))-LEN(SUBSTITUTE(D57," ",""))+1</f>
        <v>7</v>
      </c>
      <c r="I58" t="s">
        <v>216</v>
      </c>
      <c r="J58">
        <f>LEN(TRIM(I57))-LEN(SUBSTITUTE(I57," ",""))+1</f>
        <v>7</v>
      </c>
      <c r="M58" s="42" t="s">
        <v>216</v>
      </c>
      <c r="N58">
        <f>LEN(TRIM(M57))-LEN(SUBSTITUTE(M57," ",""))+1</f>
        <v>8</v>
      </c>
    </row>
    <row r="60" spans="3:14" ht="16.2" customHeight="1" thickBot="1" x14ac:dyDescent="0.35">
      <c r="D60" s="353" t="s">
        <v>212</v>
      </c>
      <c r="E60" s="353"/>
      <c r="F60" s="353"/>
      <c r="G60" s="353"/>
      <c r="I60" s="353" t="s">
        <v>213</v>
      </c>
      <c r="J60" s="353"/>
      <c r="K60" s="353"/>
      <c r="M60" s="103" t="s">
        <v>72</v>
      </c>
      <c r="N60" s="103"/>
    </row>
    <row r="61" spans="3:14" ht="186" customHeight="1" thickBot="1" x14ac:dyDescent="0.3">
      <c r="D61" s="350" t="s">
        <v>214</v>
      </c>
      <c r="E61" s="351"/>
      <c r="F61" s="351"/>
      <c r="G61" s="352"/>
      <c r="I61" s="350" t="s">
        <v>214</v>
      </c>
      <c r="J61" s="351"/>
      <c r="K61" s="352"/>
      <c r="M61" s="354" t="s">
        <v>215</v>
      </c>
      <c r="N61" s="355"/>
    </row>
    <row r="62" spans="3:14" ht="13.95" customHeight="1" x14ac:dyDescent="0.25">
      <c r="D62" t="s">
        <v>216</v>
      </c>
      <c r="F62">
        <f>LEN(TRIM(D61))-LEN(SUBSTITUTE(D61," ",""))+1</f>
        <v>7</v>
      </c>
      <c r="I62" t="s">
        <v>216</v>
      </c>
      <c r="J62">
        <f>LEN(TRIM(I61))-LEN(SUBSTITUTE(I61," ",""))+1</f>
        <v>7</v>
      </c>
      <c r="M62" s="42" t="s">
        <v>216</v>
      </c>
      <c r="N62">
        <f>LEN(TRIM(M61))-LEN(SUBSTITUTE(M61," ",""))+1</f>
        <v>8</v>
      </c>
    </row>
    <row r="64" spans="3:14" ht="16.2" customHeight="1" thickBot="1" x14ac:dyDescent="0.35">
      <c r="D64" s="353" t="s">
        <v>212</v>
      </c>
      <c r="E64" s="353"/>
      <c r="F64" s="353"/>
      <c r="G64" s="353"/>
      <c r="I64" s="353" t="s">
        <v>213</v>
      </c>
      <c r="J64" s="353"/>
      <c r="K64" s="353"/>
      <c r="M64" s="103" t="s">
        <v>72</v>
      </c>
      <c r="N64" s="103"/>
    </row>
    <row r="65" spans="1:14" ht="184.95" customHeight="1" thickBot="1" x14ac:dyDescent="0.3">
      <c r="D65" s="350" t="s">
        <v>214</v>
      </c>
      <c r="E65" s="351"/>
      <c r="F65" s="351"/>
      <c r="G65" s="352"/>
      <c r="I65" s="350" t="s">
        <v>214</v>
      </c>
      <c r="J65" s="351"/>
      <c r="K65" s="352"/>
      <c r="M65" s="354" t="s">
        <v>215</v>
      </c>
      <c r="N65" s="355"/>
    </row>
    <row r="66" spans="1:14" ht="13.95" customHeight="1" x14ac:dyDescent="0.25">
      <c r="D66" t="s">
        <v>216</v>
      </c>
      <c r="F66">
        <f>LEN(TRIM(D65))-LEN(SUBSTITUTE(D65," ",""))+1</f>
        <v>7</v>
      </c>
      <c r="I66" t="s">
        <v>216</v>
      </c>
      <c r="J66">
        <f>LEN(TRIM(I65))-LEN(SUBSTITUTE(I65," ",""))+1</f>
        <v>7</v>
      </c>
      <c r="M66" s="42" t="s">
        <v>216</v>
      </c>
      <c r="N66">
        <f>LEN(TRIM(M65))-LEN(SUBSTITUTE(M65," ",""))+1</f>
        <v>8</v>
      </c>
    </row>
    <row r="68" spans="1:14" ht="16.2" customHeight="1" thickBot="1" x14ac:dyDescent="0.35">
      <c r="D68" s="353" t="s">
        <v>212</v>
      </c>
      <c r="E68" s="353"/>
      <c r="F68" s="353"/>
      <c r="G68" s="353"/>
      <c r="I68" s="353" t="s">
        <v>213</v>
      </c>
      <c r="J68" s="353"/>
      <c r="K68" s="353"/>
      <c r="M68" s="103" t="s">
        <v>72</v>
      </c>
      <c r="N68" s="103"/>
    </row>
    <row r="69" spans="1:14" ht="186.45" customHeight="1" thickBot="1" x14ac:dyDescent="0.3">
      <c r="D69" s="350" t="s">
        <v>214</v>
      </c>
      <c r="E69" s="351"/>
      <c r="F69" s="351"/>
      <c r="G69" s="352"/>
      <c r="I69" s="350" t="s">
        <v>214</v>
      </c>
      <c r="J69" s="351"/>
      <c r="K69" s="352"/>
      <c r="M69" s="354" t="s">
        <v>215</v>
      </c>
      <c r="N69" s="355"/>
    </row>
    <row r="70" spans="1:14" ht="13.95" customHeight="1" x14ac:dyDescent="0.25">
      <c r="D70" t="s">
        <v>216</v>
      </c>
      <c r="F70">
        <f>LEN(TRIM(D69))-LEN(SUBSTITUTE(D69," ",""))+1</f>
        <v>7</v>
      </c>
      <c r="I70" t="s">
        <v>216</v>
      </c>
      <c r="J70">
        <f>LEN(TRIM(I69))-LEN(SUBSTITUTE(I69," ",""))+1</f>
        <v>7</v>
      </c>
      <c r="M70" s="42" t="s">
        <v>216</v>
      </c>
      <c r="N70">
        <f>LEN(TRIM(M69))-LEN(SUBSTITUTE(M69," ",""))+1</f>
        <v>8</v>
      </c>
    </row>
    <row r="72" spans="1:14" ht="16.2" customHeight="1" thickBot="1" x14ac:dyDescent="0.35">
      <c r="D72" s="353" t="s">
        <v>212</v>
      </c>
      <c r="E72" s="353"/>
      <c r="F72" s="353"/>
      <c r="G72" s="353"/>
      <c r="I72" s="353" t="s">
        <v>213</v>
      </c>
      <c r="J72" s="353"/>
      <c r="K72" s="353"/>
      <c r="M72" s="103" t="s">
        <v>72</v>
      </c>
      <c r="N72" s="103"/>
    </row>
    <row r="73" spans="1:14" ht="198" customHeight="1" thickBot="1" x14ac:dyDescent="0.3">
      <c r="D73" s="350" t="s">
        <v>214</v>
      </c>
      <c r="E73" s="351"/>
      <c r="F73" s="351"/>
      <c r="G73" s="352"/>
      <c r="I73" s="350" t="s">
        <v>214</v>
      </c>
      <c r="J73" s="351"/>
      <c r="K73" s="352"/>
      <c r="M73" s="354" t="s">
        <v>215</v>
      </c>
      <c r="N73" s="355"/>
    </row>
    <row r="74" spans="1:14" ht="13.95" customHeight="1" x14ac:dyDescent="0.25">
      <c r="D74" t="s">
        <v>216</v>
      </c>
      <c r="F74">
        <f>LEN(TRIM(D73))-LEN(SUBSTITUTE(D73," ",""))+1</f>
        <v>7</v>
      </c>
      <c r="I74" t="s">
        <v>216</v>
      </c>
      <c r="J74">
        <f>LEN(TRIM(I73))-LEN(SUBSTITUTE(I73," ",""))+1</f>
        <v>7</v>
      </c>
      <c r="M74" s="42" t="s">
        <v>216</v>
      </c>
      <c r="N74">
        <f>LEN(TRIM(M73))-LEN(SUBSTITUTE(M73," ",""))+1</f>
        <v>8</v>
      </c>
    </row>
    <row r="76" spans="1:14" ht="16.2" customHeight="1" thickBot="1" x14ac:dyDescent="0.35">
      <c r="D76" s="353" t="s">
        <v>212</v>
      </c>
      <c r="E76" s="353"/>
      <c r="F76" s="353"/>
      <c r="G76" s="353"/>
      <c r="I76" s="353" t="s">
        <v>213</v>
      </c>
      <c r="J76" s="353"/>
      <c r="K76" s="353"/>
      <c r="M76" s="103" t="s">
        <v>72</v>
      </c>
      <c r="N76" s="103"/>
    </row>
    <row r="77" spans="1:14" ht="206.7" customHeight="1" thickBot="1" x14ac:dyDescent="0.3">
      <c r="D77" s="350" t="s">
        <v>214</v>
      </c>
      <c r="E77" s="351"/>
      <c r="F77" s="351"/>
      <c r="G77" s="352"/>
      <c r="I77" s="350" t="s">
        <v>214</v>
      </c>
      <c r="J77" s="351"/>
      <c r="K77" s="352"/>
      <c r="M77" s="354" t="s">
        <v>215</v>
      </c>
      <c r="N77" s="355"/>
    </row>
    <row r="78" spans="1:14" ht="13.95" customHeight="1" x14ac:dyDescent="0.25">
      <c r="A78" s="173"/>
      <c r="D78" t="s">
        <v>216</v>
      </c>
      <c r="F78">
        <f>LEN(TRIM(D77))-LEN(SUBSTITUTE(D77," ",""))+1</f>
        <v>7</v>
      </c>
      <c r="I78" t="s">
        <v>216</v>
      </c>
      <c r="J78">
        <f>LEN(TRIM(I77))-LEN(SUBSTITUTE(I77," ",""))+1</f>
        <v>7</v>
      </c>
      <c r="M78" s="42" t="s">
        <v>216</v>
      </c>
      <c r="N78">
        <f>LEN(TRIM(M77))-LEN(SUBSTITUTE(M77," ",""))+1</f>
        <v>8</v>
      </c>
    </row>
    <row r="80" spans="1:14" x14ac:dyDescent="0.25">
      <c r="A80" s="174"/>
    </row>
    <row r="82" spans="1:2" x14ac:dyDescent="0.25">
      <c r="A82" s="178"/>
      <c r="B82" s="177"/>
    </row>
    <row r="84" spans="1:2" x14ac:dyDescent="0.25">
      <c r="B84" s="174"/>
    </row>
  </sheetData>
  <sheetProtection algorithmName="SHA-512" hashValue="8IRYzzsG7ArQxF77Kpl0vtZCzrTLkRA22i6irAwzn7KCdQGxGH3DBxkdk26TTgDVH2MJhLyqYCFEQbwewYf+AQ==" saltValue="1YrS6BrQgTmMjeEV1DnWbQ==" spinCount="100000" sheet="1" objects="1" scenarios="1" selectLockedCells="1"/>
  <mergeCells count="54">
    <mergeCell ref="I48:K48"/>
    <mergeCell ref="I49:K49"/>
    <mergeCell ref="I52:K52"/>
    <mergeCell ref="I77:K77"/>
    <mergeCell ref="I65:K65"/>
    <mergeCell ref="I69:K69"/>
    <mergeCell ref="I53:K53"/>
    <mergeCell ref="I56:K56"/>
    <mergeCell ref="I57:K57"/>
    <mergeCell ref="I60:K60"/>
    <mergeCell ref="I61:K61"/>
    <mergeCell ref="I64:K64"/>
    <mergeCell ref="I68:K68"/>
    <mergeCell ref="I72:K72"/>
    <mergeCell ref="I73:K73"/>
    <mergeCell ref="I76:K76"/>
    <mergeCell ref="D48:G48"/>
    <mergeCell ref="D49:G49"/>
    <mergeCell ref="D52:G52"/>
    <mergeCell ref="D64:G64"/>
    <mergeCell ref="D68:G68"/>
    <mergeCell ref="D53:G53"/>
    <mergeCell ref="D56:G56"/>
    <mergeCell ref="D57:G57"/>
    <mergeCell ref="D60:G60"/>
    <mergeCell ref="D61:G61"/>
    <mergeCell ref="M69:N69"/>
    <mergeCell ref="M73:N73"/>
    <mergeCell ref="M77:N77"/>
    <mergeCell ref="D77:G77"/>
    <mergeCell ref="D65:G65"/>
    <mergeCell ref="D69:G69"/>
    <mergeCell ref="D72:G72"/>
    <mergeCell ref="D73:G73"/>
    <mergeCell ref="D76:G76"/>
    <mergeCell ref="A38:C38"/>
    <mergeCell ref="A42:E42"/>
    <mergeCell ref="A24:F24"/>
    <mergeCell ref="B2:F2"/>
    <mergeCell ref="M45:N45"/>
    <mergeCell ref="A27:D27"/>
    <mergeCell ref="A25:D25"/>
    <mergeCell ref="E26:G26"/>
    <mergeCell ref="F27:I27"/>
    <mergeCell ref="A14:D14"/>
    <mergeCell ref="D44:G44"/>
    <mergeCell ref="D45:G45"/>
    <mergeCell ref="I44:J44"/>
    <mergeCell ref="I45:K45"/>
    <mergeCell ref="M49:N49"/>
    <mergeCell ref="M53:N53"/>
    <mergeCell ref="M57:N57"/>
    <mergeCell ref="M61:N61"/>
    <mergeCell ref="M65:N65"/>
  </mergeCells>
  <dataValidations count="1">
    <dataValidation type="custom" allowBlank="1" showErrorMessage="1" error="Le nombre de mots de cette zone de commentaire semble être supérieur à 150" sqref="D45:G45 M77:N77 M73:N73 M69:N69 M65:N65 M61:N61 M57:N57 M53:N53 M49:N49 M45:N45 I77:K77 I73:K73 I69:K69 I65:K65 I61:K61 I57:K57 I53:K53 I49:K49 I45:K45 D77:G77 D73:G73 D69:G69 D65:G65 D61:G61 D57:G57 D53:G53 D49:G49" xr:uid="{0CB24BBD-C4CD-40B6-B1B5-23C07FBF3C8B}">
      <formula1>LEN(TRIM(D45))-LEN(SUBSTITUTE(D45," ",""))+1&lt;=150</formula1>
    </dataValidation>
  </dataValidations>
  <pageMargins left="0.7" right="0.7" top="0.75" bottom="0.75" header="0.3" footer="0.3"/>
  <pageSetup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253562BB-45AF-470C-BE33-44579B6F4766}">
          <x14:formula1>
            <xm:f>Feuil_M!$A$3:$A$8</xm:f>
          </x14:formula1>
          <xm:sqref>D29:D37 H29:H37 F29:F37 B29:B37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111F5-D182-4B86-9DA8-0799964987B0}">
  <sheetPr codeName="Feuil8">
    <tabColor rgb="FFC1C2DA"/>
  </sheetPr>
  <dimension ref="A1:N79"/>
  <sheetViews>
    <sheetView showGridLines="0" showRowColHeaders="0" zoomScale="65" zoomScaleNormal="65" workbookViewId="0">
      <selection activeCell="B29" sqref="B29"/>
    </sheetView>
  </sheetViews>
  <sheetFormatPr baseColWidth="10" defaultColWidth="11" defaultRowHeight="13.8" x14ac:dyDescent="0.25"/>
  <cols>
    <col min="1" max="1" width="26.69921875" customWidth="1"/>
    <col min="2" max="2" width="27.69921875" customWidth="1"/>
    <col min="3" max="3" width="12.69921875" hidden="1" customWidth="1"/>
    <col min="4" max="4" width="27.69921875" customWidth="1"/>
    <col min="5" max="5" width="30.19921875" hidden="1" customWidth="1"/>
    <col min="6" max="7" width="27.69921875" customWidth="1"/>
    <col min="8" max="8" width="32.69921875" customWidth="1"/>
    <col min="9" max="11" width="30.69921875" customWidth="1"/>
    <col min="12" max="12" width="15.69921875" customWidth="1"/>
    <col min="13" max="14" width="40.69921875" customWidth="1"/>
    <col min="15" max="15" width="33.19921875" customWidth="1"/>
  </cols>
  <sheetData>
    <row r="1" spans="1:8" ht="21" customHeight="1" x14ac:dyDescent="0.25">
      <c r="A1" s="9"/>
    </row>
    <row r="2" spans="1:8" ht="22.2" customHeight="1" x14ac:dyDescent="0.25">
      <c r="A2" s="9"/>
      <c r="B2" s="373" t="s">
        <v>0</v>
      </c>
      <c r="C2" s="373"/>
      <c r="D2" s="373"/>
      <c r="E2" s="373"/>
      <c r="F2" s="373"/>
    </row>
    <row r="3" spans="1:8" ht="21.45" customHeight="1" x14ac:dyDescent="0.25">
      <c r="A3" s="9"/>
    </row>
    <row r="13" spans="1:8" ht="13.95" customHeight="1" x14ac:dyDescent="0.25"/>
    <row r="14" spans="1:8" ht="22.95" customHeight="1" x14ac:dyDescent="0.4">
      <c r="A14" s="361" t="s">
        <v>193</v>
      </c>
      <c r="B14" s="314"/>
      <c r="C14" s="314"/>
      <c r="D14" s="314"/>
    </row>
    <row r="15" spans="1:8" ht="14.4" customHeight="1" thickBot="1" x14ac:dyDescent="0.3"/>
    <row r="16" spans="1:8" ht="31.95" customHeight="1" x14ac:dyDescent="0.3">
      <c r="A16" s="39" t="s">
        <v>6</v>
      </c>
      <c r="B16" s="39" t="s">
        <v>47</v>
      </c>
      <c r="C16" s="87"/>
      <c r="D16" s="39" t="s">
        <v>7</v>
      </c>
      <c r="F16" s="39" t="s">
        <v>8</v>
      </c>
      <c r="G16" s="39" t="s">
        <v>9</v>
      </c>
      <c r="H16" s="39" t="s">
        <v>10</v>
      </c>
    </row>
    <row r="17" spans="1:12" ht="31.95" customHeight="1" thickBot="1" x14ac:dyDescent="0.3">
      <c r="A17" s="47" t="s">
        <v>195</v>
      </c>
      <c r="B17" s="277" t="s">
        <v>11</v>
      </c>
      <c r="C17" s="278"/>
      <c r="D17" s="277" t="s">
        <v>12</v>
      </c>
      <c r="E17" s="276"/>
      <c r="F17" s="277" t="s">
        <v>13</v>
      </c>
      <c r="G17" s="277" t="s">
        <v>14</v>
      </c>
      <c r="H17" s="277" t="s">
        <v>15</v>
      </c>
    </row>
    <row r="18" spans="1:12" ht="31.95" customHeight="1" thickBot="1" x14ac:dyDescent="0.3">
      <c r="A18" s="47" t="s">
        <v>16</v>
      </c>
      <c r="B18" s="284" t="s">
        <v>200</v>
      </c>
      <c r="C18" s="279"/>
      <c r="D18" s="284" t="s">
        <v>201</v>
      </c>
      <c r="E18" s="276"/>
      <c r="F18" s="280" t="s">
        <v>17</v>
      </c>
      <c r="G18" s="280" t="s">
        <v>18</v>
      </c>
      <c r="H18" s="280" t="s">
        <v>19</v>
      </c>
    </row>
    <row r="19" spans="1:12" ht="31.95" customHeight="1" thickBot="1" x14ac:dyDescent="0.3">
      <c r="A19" s="88" t="s">
        <v>20</v>
      </c>
      <c r="B19" s="281" t="s">
        <v>21</v>
      </c>
      <c r="C19" s="282"/>
      <c r="D19" s="281" t="s">
        <v>187</v>
      </c>
      <c r="E19" s="276"/>
      <c r="F19" s="281" t="s">
        <v>188</v>
      </c>
      <c r="G19" s="281" t="s">
        <v>194</v>
      </c>
      <c r="H19" s="281" t="s">
        <v>22</v>
      </c>
    </row>
    <row r="20" spans="1:12" ht="13.95" customHeight="1" x14ac:dyDescent="0.25"/>
    <row r="23" spans="1:12" ht="13.95" customHeight="1" x14ac:dyDescent="0.25"/>
    <row r="24" spans="1:12" ht="22.95" customHeight="1" x14ac:dyDescent="0.4">
      <c r="A24" s="368" t="s">
        <v>208</v>
      </c>
      <c r="B24" s="368"/>
      <c r="C24" s="368"/>
      <c r="D24" s="368"/>
      <c r="E24" s="368"/>
      <c r="F24" s="368"/>
      <c r="G24" s="2"/>
      <c r="I24" s="1"/>
      <c r="J24" s="1"/>
      <c r="K24" s="1"/>
      <c r="L24" s="1"/>
    </row>
    <row r="25" spans="1:12" ht="19.2" customHeight="1" x14ac:dyDescent="0.3">
      <c r="A25" s="367" t="s">
        <v>48</v>
      </c>
      <c r="B25" s="367"/>
      <c r="C25" s="367"/>
      <c r="D25" s="367"/>
      <c r="I25" s="1"/>
      <c r="J25" s="1"/>
      <c r="K25" s="1"/>
      <c r="L25" s="1"/>
    </row>
    <row r="26" spans="1:12" ht="15.6" thickBot="1" x14ac:dyDescent="0.3">
      <c r="E26" s="366"/>
      <c r="F26" s="396"/>
      <c r="G26" s="396"/>
      <c r="H26" s="6"/>
      <c r="I26" s="7"/>
      <c r="J26" s="1"/>
      <c r="K26" s="1"/>
      <c r="L26" s="1"/>
    </row>
    <row r="27" spans="1:12" ht="22.2" customHeight="1" thickTop="1" thickBot="1" x14ac:dyDescent="0.45">
      <c r="A27" s="362" t="s">
        <v>49</v>
      </c>
      <c r="B27" s="390"/>
      <c r="C27" s="390"/>
      <c r="D27" s="390"/>
      <c r="E27" s="390"/>
      <c r="F27" s="405" t="s">
        <v>50</v>
      </c>
      <c r="G27" s="406"/>
      <c r="H27" s="406"/>
      <c r="I27" s="407"/>
      <c r="J27" s="1"/>
      <c r="K27" s="1"/>
    </row>
    <row r="28" spans="1:12" ht="34.950000000000003" customHeight="1" thickBot="1" x14ac:dyDescent="0.35">
      <c r="A28" s="18" t="s">
        <v>235</v>
      </c>
      <c r="B28" s="121" t="s">
        <v>51</v>
      </c>
      <c r="C28" s="111" t="s">
        <v>52</v>
      </c>
      <c r="D28" s="70" t="s">
        <v>191</v>
      </c>
      <c r="E28" s="150" t="s">
        <v>53</v>
      </c>
      <c r="F28" s="129" t="s">
        <v>54</v>
      </c>
      <c r="G28" s="112" t="s">
        <v>55</v>
      </c>
      <c r="H28" s="13" t="s">
        <v>209</v>
      </c>
      <c r="I28" s="112" t="s">
        <v>56</v>
      </c>
      <c r="J28" t="s">
        <v>57</v>
      </c>
    </row>
    <row r="29" spans="1:12" ht="18" thickBot="1" x14ac:dyDescent="0.35">
      <c r="A29" s="19" t="s">
        <v>58</v>
      </c>
      <c r="B29" s="295" t="s">
        <v>61</v>
      </c>
      <c r="C29" s="49" t="str">
        <f>VLOOKUP(Tableau7[[#This Row],[Personne enseignante]],Feuil_M!$A$3:$B$8,2,FALSE)</f>
        <v>-</v>
      </c>
      <c r="D29" s="300" t="s">
        <v>61</v>
      </c>
      <c r="E29" s="151" t="str">
        <f>VLOOKUP(Tableau7[[#This Row],[Responsable de l’encadrement]],Feuil_M!$A$3:$B$8,2,FALSE)</f>
        <v>-</v>
      </c>
      <c r="F29" s="303" t="s">
        <v>61</v>
      </c>
      <c r="G29" s="49" t="str">
        <f>VLOOKUP(Tableau7[[#This Row],[Personne enseignante2]],Feuil_M!$A$3:$B$8,2,FALSE)</f>
        <v>-</v>
      </c>
      <c r="H29" s="295" t="s">
        <v>61</v>
      </c>
      <c r="I29" s="50" t="str">
        <f>VLOOKUP(Tableau7[[#This Row],[Responsable de l’encadrement2]],Feuil_M!$A$3:$B$8,2,FALSE)</f>
        <v>-</v>
      </c>
    </row>
    <row r="30" spans="1:12" ht="18" thickBot="1" x14ac:dyDescent="0.35">
      <c r="A30" s="19" t="s">
        <v>62</v>
      </c>
      <c r="B30" s="295" t="s">
        <v>61</v>
      </c>
      <c r="C30" s="49" t="str">
        <f>VLOOKUP(Tableau7[[#This Row],[Personne enseignante]],Feuil_M!$A$3:$B$8,2,FALSE)</f>
        <v>-</v>
      </c>
      <c r="D30" s="300" t="s">
        <v>61</v>
      </c>
      <c r="E30" s="151" t="str">
        <f>VLOOKUP(Tableau7[[#This Row],[Responsable de l’encadrement]],Feuil_M!$A$3:$B$8,2,FALSE)</f>
        <v>-</v>
      </c>
      <c r="F30" s="303" t="s">
        <v>61</v>
      </c>
      <c r="G30" s="49" t="str">
        <f>VLOOKUP(Tableau7[[#This Row],[Personne enseignante2]],Feuil_M!$A$3:$B$8,2,FALSE)</f>
        <v>-</v>
      </c>
      <c r="H30" s="295" t="s">
        <v>61</v>
      </c>
      <c r="I30" s="50" t="str">
        <f>VLOOKUP(Tableau7[[#This Row],[Responsable de l’encadrement2]],Feuil_M!$A$3:$B$8,2,FALSE)</f>
        <v>-</v>
      </c>
    </row>
    <row r="31" spans="1:12" ht="18" thickBot="1" x14ac:dyDescent="0.35">
      <c r="A31" s="19" t="s">
        <v>64</v>
      </c>
      <c r="B31" s="295" t="s">
        <v>61</v>
      </c>
      <c r="C31" s="49" t="str">
        <f>VLOOKUP(Tableau7[[#This Row],[Personne enseignante]],Feuil_M!$A$3:$B$8,2,FALSE)</f>
        <v>-</v>
      </c>
      <c r="D31" s="300" t="s">
        <v>61</v>
      </c>
      <c r="E31" s="151" t="str">
        <f>VLOOKUP(Tableau7[[#This Row],[Responsable de l’encadrement]],Feuil_M!$A$3:$B$8,2,FALSE)</f>
        <v>-</v>
      </c>
      <c r="F31" s="303" t="s">
        <v>61</v>
      </c>
      <c r="G31" s="49" t="str">
        <f>VLOOKUP(Tableau7[[#This Row],[Personne enseignante2]],Feuil_M!$A$3:$B$8,2,FALSE)</f>
        <v>-</v>
      </c>
      <c r="H31" s="295" t="s">
        <v>61</v>
      </c>
      <c r="I31" s="50" t="str">
        <f>VLOOKUP(Tableau7[[#This Row],[Responsable de l’encadrement2]],Feuil_M!$A$3:$B$8,2,FALSE)</f>
        <v>-</v>
      </c>
    </row>
    <row r="32" spans="1:12" ht="18" thickBot="1" x14ac:dyDescent="0.35">
      <c r="A32" s="19" t="s">
        <v>65</v>
      </c>
      <c r="B32" s="295" t="s">
        <v>61</v>
      </c>
      <c r="C32" s="49" t="str">
        <f>VLOOKUP(Tableau7[[#This Row],[Personne enseignante]],Feuil_M!$A$3:$B$8,2,FALSE)</f>
        <v>-</v>
      </c>
      <c r="D32" s="300" t="s">
        <v>61</v>
      </c>
      <c r="E32" s="151" t="str">
        <f>VLOOKUP(Tableau7[[#This Row],[Responsable de l’encadrement]],Feuil_M!$A$3:$B$8,2,FALSE)</f>
        <v>-</v>
      </c>
      <c r="F32" s="303" t="s">
        <v>61</v>
      </c>
      <c r="G32" s="49" t="str">
        <f>VLOOKUP(Tableau7[[#This Row],[Personne enseignante2]],Feuil_M!$A$3:$B$8,2,FALSE)</f>
        <v>-</v>
      </c>
      <c r="H32" s="295" t="s">
        <v>61</v>
      </c>
      <c r="I32" s="50" t="str">
        <f>VLOOKUP(Tableau7[[#This Row],[Responsable de l’encadrement2]],Feuil_M!$A$3:$B$8,2,FALSE)</f>
        <v>-</v>
      </c>
    </row>
    <row r="33" spans="1:14" ht="18" thickBot="1" x14ac:dyDescent="0.35">
      <c r="A33" s="19" t="s">
        <v>67</v>
      </c>
      <c r="B33" s="295" t="s">
        <v>61</v>
      </c>
      <c r="C33" s="49" t="str">
        <f>VLOOKUP(Tableau7[[#This Row],[Personne enseignante]],Feuil_M!$A$3:$B$8,2,FALSE)</f>
        <v>-</v>
      </c>
      <c r="D33" s="300" t="s">
        <v>61</v>
      </c>
      <c r="E33" s="151" t="str">
        <f>VLOOKUP(Tableau7[[#This Row],[Responsable de l’encadrement]],Feuil_M!$A$3:$B$8,2,FALSE)</f>
        <v>-</v>
      </c>
      <c r="F33" s="303" t="s">
        <v>61</v>
      </c>
      <c r="G33" s="49" t="str">
        <f>VLOOKUP(Tableau7[[#This Row],[Personne enseignante2]],Feuil_M!$A$3:$B$8,2,FALSE)</f>
        <v>-</v>
      </c>
      <c r="H33" s="295" t="s">
        <v>61</v>
      </c>
      <c r="I33" s="50" t="str">
        <f>VLOOKUP(Tableau7[[#This Row],[Responsable de l’encadrement2]],Feuil_M!$A$3:$B$8,2,FALSE)</f>
        <v>-</v>
      </c>
    </row>
    <row r="34" spans="1:14" ht="18" thickBot="1" x14ac:dyDescent="0.35">
      <c r="A34" s="19" t="s">
        <v>69</v>
      </c>
      <c r="B34" s="295" t="s">
        <v>61</v>
      </c>
      <c r="C34" s="49" t="str">
        <f>VLOOKUP(Tableau7[[#This Row],[Personne enseignante]],Feuil_M!$A$3:$B$8,2,FALSE)</f>
        <v>-</v>
      </c>
      <c r="D34" s="300" t="s">
        <v>61</v>
      </c>
      <c r="E34" s="151" t="str">
        <f>VLOOKUP(Tableau7[[#This Row],[Responsable de l’encadrement]],Feuil_M!$A$3:$B$8,2,FALSE)</f>
        <v>-</v>
      </c>
      <c r="F34" s="303" t="s">
        <v>61</v>
      </c>
      <c r="G34" s="49" t="str">
        <f>VLOOKUP(Tableau7[[#This Row],[Personne enseignante2]],Feuil_M!$A$3:$B$8,2,FALSE)</f>
        <v>-</v>
      </c>
      <c r="H34" s="295" t="s">
        <v>61</v>
      </c>
      <c r="I34" s="50" t="str">
        <f>VLOOKUP(Tableau7[[#This Row],[Responsable de l’encadrement2]],Feuil_M!$A$3:$B$8,2,FALSE)</f>
        <v>-</v>
      </c>
    </row>
    <row r="35" spans="1:14" ht="18" thickBot="1" x14ac:dyDescent="0.35">
      <c r="A35" s="19" t="s">
        <v>70</v>
      </c>
      <c r="B35" s="295" t="s">
        <v>61</v>
      </c>
      <c r="C35" s="49" t="str">
        <f>VLOOKUP(Tableau7[[#This Row],[Personne enseignante]],Feuil_M!$A$3:$B$8,2,FALSE)</f>
        <v>-</v>
      </c>
      <c r="D35" s="300" t="s">
        <v>61</v>
      </c>
      <c r="E35" s="151" t="str">
        <f>VLOOKUP(Tableau7[[#This Row],[Responsable de l’encadrement]],Feuil_M!$A$3:$B$8,2,FALSE)</f>
        <v>-</v>
      </c>
      <c r="F35" s="303" t="s">
        <v>61</v>
      </c>
      <c r="G35" s="49" t="str">
        <f>VLOOKUP(Tableau7[[#This Row],[Personne enseignante2]],Feuil_M!$A$3:$B$8,2,FALSE)</f>
        <v>-</v>
      </c>
      <c r="H35" s="295" t="s">
        <v>61</v>
      </c>
      <c r="I35" s="50" t="str">
        <f>VLOOKUP(Tableau7[[#This Row],[Responsable de l’encadrement2]],Feuil_M!$A$3:$B$8,2,FALSE)</f>
        <v>-</v>
      </c>
    </row>
    <row r="36" spans="1:14" ht="18" thickBot="1" x14ac:dyDescent="0.35">
      <c r="A36" s="41" t="s">
        <v>71</v>
      </c>
      <c r="B36" s="295" t="s">
        <v>61</v>
      </c>
      <c r="C36" s="49" t="str">
        <f>VLOOKUP(Tableau7[[#This Row],[Personne enseignante]],Feuil_M!$A$3:$B$8,2,FALSE)</f>
        <v>-</v>
      </c>
      <c r="D36" s="295" t="s">
        <v>61</v>
      </c>
      <c r="E36" s="152" t="str">
        <f>VLOOKUP(Tableau7[[#This Row],[Responsable de l’encadrement]],Feuil_M!$A$3:$B$8,2,FALSE)</f>
        <v>-</v>
      </c>
      <c r="F36" s="303" t="s">
        <v>61</v>
      </c>
      <c r="G36" s="49" t="str">
        <f>VLOOKUP(Tableau7[[#This Row],[Personne enseignante2]],Feuil_M!$A$3:$B$8,2,FALSE)</f>
        <v>-</v>
      </c>
      <c r="H36" s="295" t="s">
        <v>61</v>
      </c>
      <c r="I36" s="50" t="str">
        <f>VLOOKUP(Tableau7[[#This Row],[Responsable de l’encadrement2]],Feuil_M!$A$3:$B$8,2,FALSE)</f>
        <v>-</v>
      </c>
    </row>
    <row r="37" spans="1:14" ht="18" thickBot="1" x14ac:dyDescent="0.35">
      <c r="A37" s="395"/>
      <c r="B37" s="395"/>
      <c r="C37" s="395"/>
      <c r="D37" s="3"/>
      <c r="E37" s="35"/>
      <c r="F37" s="12"/>
      <c r="G37" s="4"/>
      <c r="H37" s="4"/>
      <c r="I37" s="17"/>
    </row>
    <row r="38" spans="1:14" ht="18" customHeight="1" thickBot="1" x14ac:dyDescent="0.35">
      <c r="A38" s="54" t="s">
        <v>211</v>
      </c>
      <c r="B38" s="54"/>
      <c r="C38" s="164" t="str">
        <f>IF(SUBTOTAL(102,Tableau7[Résultats For1])=0,"",SUBTOTAL(101,Tableau7[Résultats For1]))</f>
        <v/>
      </c>
      <c r="D38" s="98" t="s">
        <v>73</v>
      </c>
      <c r="E38" s="164" t="str">
        <f>IF(SUBTOTAL(102,Tableau7[Résultats For2])=0,"",SUBTOTAL(101,Tableau7[Résultats For2]))</f>
        <v/>
      </c>
      <c r="F38" s="8"/>
      <c r="G38" s="166" t="str">
        <f>IF(SUBTOTAL(102,Tableau7[Résultats Som1])=0,"",SUBTOTAL(101,Tableau7[Résultats Som1]))</f>
        <v/>
      </c>
      <c r="H38" s="3"/>
      <c r="I38" s="165" t="str">
        <f>IF(SUBTOTAL(102,Tableau7[Résultats Som2])=0,"",SUBTOTAL(101,Tableau7[Résultats Som2]))</f>
        <v/>
      </c>
    </row>
    <row r="39" spans="1:14" ht="0.45" customHeight="1" x14ac:dyDescent="0.25">
      <c r="A39" s="4"/>
      <c r="B39" s="4"/>
      <c r="C39" s="4"/>
      <c r="D39" s="4"/>
      <c r="E39" s="34"/>
      <c r="F39" s="4"/>
      <c r="G39" s="4"/>
      <c r="H39" s="4"/>
      <c r="I39" s="5"/>
      <c r="J39" s="4"/>
    </row>
    <row r="40" spans="1:14" ht="12" customHeight="1" x14ac:dyDescent="0.4">
      <c r="A40" s="368"/>
      <c r="B40" s="368"/>
      <c r="C40" s="368"/>
      <c r="D40" s="368"/>
      <c r="E40" s="368"/>
      <c r="F40" s="368"/>
      <c r="G40" s="1"/>
      <c r="H40" s="1"/>
      <c r="I40" s="1"/>
      <c r="J40" s="1"/>
      <c r="K40" s="1"/>
      <c r="L40" s="1"/>
    </row>
    <row r="41" spans="1:14" ht="31.2" customHeight="1" x14ac:dyDescent="0.3">
      <c r="A41" s="314" t="s">
        <v>234</v>
      </c>
      <c r="B41" s="314"/>
      <c r="C41" s="314"/>
      <c r="D41" s="314"/>
      <c r="E41" s="314"/>
      <c r="F41" s="24"/>
      <c r="G41" s="1"/>
      <c r="H41" s="1"/>
      <c r="I41" s="1"/>
      <c r="J41" s="1"/>
      <c r="K41" s="1"/>
      <c r="L41" s="1"/>
    </row>
    <row r="42" spans="1:14" ht="12" customHeight="1" x14ac:dyDescent="0.25">
      <c r="A42" s="24"/>
      <c r="B42" s="24"/>
      <c r="C42" s="24"/>
      <c r="D42" s="24"/>
      <c r="E42" s="24"/>
      <c r="F42" s="24"/>
      <c r="G42" s="1"/>
      <c r="H42" s="1"/>
      <c r="I42" s="1"/>
      <c r="J42" s="1"/>
      <c r="K42" s="1"/>
      <c r="L42" s="1"/>
    </row>
    <row r="43" spans="1:14" ht="15.6" customHeight="1" thickBot="1" x14ac:dyDescent="0.35">
      <c r="D43" s="369" t="s">
        <v>212</v>
      </c>
      <c r="E43" s="369"/>
      <c r="F43" s="369"/>
      <c r="G43" s="369"/>
      <c r="I43" s="353" t="s">
        <v>213</v>
      </c>
      <c r="J43" s="353"/>
      <c r="K43" s="353"/>
      <c r="M43" s="103" t="s">
        <v>72</v>
      </c>
      <c r="N43" s="103"/>
    </row>
    <row r="44" spans="1:14" ht="151.19999999999999" customHeight="1" thickBot="1" x14ac:dyDescent="0.3">
      <c r="D44" s="350" t="s">
        <v>214</v>
      </c>
      <c r="E44" s="351"/>
      <c r="F44" s="351"/>
      <c r="G44" s="352"/>
      <c r="I44" s="350" t="s">
        <v>214</v>
      </c>
      <c r="J44" s="351"/>
      <c r="K44" s="352"/>
      <c r="M44" s="354" t="s">
        <v>215</v>
      </c>
      <c r="N44" s="355"/>
    </row>
    <row r="45" spans="1:14" ht="13.95" customHeight="1" x14ac:dyDescent="0.25">
      <c r="D45" t="s">
        <v>216</v>
      </c>
      <c r="F45">
        <f>LEN(TRIM(D44))-LEN(SUBSTITUTE(D44," ",""))+1</f>
        <v>7</v>
      </c>
      <c r="I45" t="s">
        <v>216</v>
      </c>
      <c r="J45">
        <f>LEN(TRIM(I44))-LEN(SUBSTITUTE(I44," ",""))+1</f>
        <v>7</v>
      </c>
      <c r="M45" s="42" t="s">
        <v>216</v>
      </c>
      <c r="N45">
        <f>LEN(TRIM(M44))-LEN(SUBSTITUTE(M44," ",""))+1</f>
        <v>8</v>
      </c>
    </row>
    <row r="46" spans="1:14" x14ac:dyDescent="0.25">
      <c r="E46" s="16"/>
      <c r="G46" s="16"/>
      <c r="I46" s="1"/>
      <c r="J46" s="1"/>
      <c r="K46" s="1"/>
    </row>
    <row r="47" spans="1:14" ht="14.7" customHeight="1" thickBot="1" x14ac:dyDescent="0.35">
      <c r="D47" s="369" t="s">
        <v>212</v>
      </c>
      <c r="E47" s="369"/>
      <c r="F47" s="369"/>
      <c r="G47" s="369"/>
      <c r="I47" s="353" t="s">
        <v>213</v>
      </c>
      <c r="J47" s="353"/>
      <c r="K47" s="353"/>
      <c r="M47" s="103" t="s">
        <v>72</v>
      </c>
      <c r="N47" s="103"/>
    </row>
    <row r="48" spans="1:14" ht="170.7" customHeight="1" thickBot="1" x14ac:dyDescent="0.3">
      <c r="D48" s="350" t="s">
        <v>214</v>
      </c>
      <c r="E48" s="351"/>
      <c r="F48" s="351"/>
      <c r="G48" s="352"/>
      <c r="I48" s="350" t="s">
        <v>214</v>
      </c>
      <c r="J48" s="351"/>
      <c r="K48" s="352"/>
      <c r="M48" s="354" t="s">
        <v>215</v>
      </c>
      <c r="N48" s="355"/>
    </row>
    <row r="49" spans="4:14" ht="19.95" customHeight="1" x14ac:dyDescent="0.25">
      <c r="D49" t="s">
        <v>216</v>
      </c>
      <c r="F49">
        <f>LEN(TRIM(D48))-LEN(SUBSTITUTE(D48," ",""))+1</f>
        <v>7</v>
      </c>
      <c r="I49" t="s">
        <v>216</v>
      </c>
      <c r="J49">
        <f>LEN(TRIM(I48))-LEN(SUBSTITUTE(I48," ",""))+1</f>
        <v>7</v>
      </c>
      <c r="M49" s="42" t="s">
        <v>216</v>
      </c>
      <c r="N49">
        <f>LEN(TRIM(M48))-LEN(SUBSTITUTE(M48," ",""))+1</f>
        <v>8</v>
      </c>
    </row>
    <row r="51" spans="4:14" ht="15.45" customHeight="1" thickBot="1" x14ac:dyDescent="0.35">
      <c r="D51" s="353" t="s">
        <v>212</v>
      </c>
      <c r="E51" s="353"/>
      <c r="F51" s="353"/>
      <c r="G51" s="353"/>
      <c r="I51" s="369" t="s">
        <v>213</v>
      </c>
      <c r="J51" s="369"/>
      <c r="K51" s="369"/>
      <c r="M51" s="103" t="s">
        <v>72</v>
      </c>
      <c r="N51" s="103"/>
    </row>
    <row r="52" spans="4:14" ht="168" customHeight="1" thickBot="1" x14ac:dyDescent="0.3">
      <c r="D52" s="350" t="s">
        <v>214</v>
      </c>
      <c r="E52" s="351"/>
      <c r="F52" s="351"/>
      <c r="G52" s="352"/>
      <c r="I52" s="350" t="s">
        <v>214</v>
      </c>
      <c r="J52" s="351"/>
      <c r="K52" s="352"/>
      <c r="M52" s="354" t="s">
        <v>215</v>
      </c>
      <c r="N52" s="355"/>
    </row>
    <row r="53" spans="4:14" ht="13.95" customHeight="1" x14ac:dyDescent="0.25">
      <c r="D53" t="s">
        <v>216</v>
      </c>
      <c r="F53">
        <f>LEN(TRIM(D52))-LEN(SUBSTITUTE(D52," ",""))+1</f>
        <v>7</v>
      </c>
      <c r="I53" t="s">
        <v>216</v>
      </c>
      <c r="J53">
        <f>LEN(TRIM(I52))-LEN(SUBSTITUTE(I52," ",""))+1</f>
        <v>7</v>
      </c>
      <c r="M53" s="42" t="s">
        <v>216</v>
      </c>
      <c r="N53">
        <f>LEN(TRIM(M52))-LEN(SUBSTITUTE(M52," ",""))+1</f>
        <v>8</v>
      </c>
    </row>
    <row r="54" spans="4:14" x14ac:dyDescent="0.25">
      <c r="E54" s="16"/>
      <c r="G54" s="16"/>
    </row>
    <row r="55" spans="4:14" ht="31.95" customHeight="1" thickBot="1" x14ac:dyDescent="0.35">
      <c r="D55" s="353" t="s">
        <v>212</v>
      </c>
      <c r="E55" s="353"/>
      <c r="F55" s="353"/>
      <c r="G55" s="353"/>
      <c r="I55" s="369" t="s">
        <v>213</v>
      </c>
      <c r="J55" s="369"/>
      <c r="K55" s="369"/>
      <c r="M55" s="103" t="s">
        <v>72</v>
      </c>
      <c r="N55" s="103"/>
    </row>
    <row r="56" spans="4:14" ht="181.95" customHeight="1" thickBot="1" x14ac:dyDescent="0.3">
      <c r="D56" s="350" t="s">
        <v>214</v>
      </c>
      <c r="E56" s="351"/>
      <c r="F56" s="351"/>
      <c r="G56" s="352"/>
      <c r="I56" s="350" t="s">
        <v>214</v>
      </c>
      <c r="J56" s="351"/>
      <c r="K56" s="352"/>
      <c r="M56" s="354" t="s">
        <v>215</v>
      </c>
      <c r="N56" s="355"/>
    </row>
    <row r="57" spans="4:14" x14ac:dyDescent="0.25">
      <c r="D57" t="s">
        <v>216</v>
      </c>
      <c r="F57">
        <f>LEN(TRIM(D56))-LEN(SUBSTITUTE(D56," ",""))+1</f>
        <v>7</v>
      </c>
      <c r="I57" t="s">
        <v>216</v>
      </c>
      <c r="J57">
        <f>LEN(TRIM(I56))-LEN(SUBSTITUTE(I56," ",""))+1</f>
        <v>7</v>
      </c>
      <c r="M57" s="42" t="s">
        <v>216</v>
      </c>
      <c r="N57">
        <f>LEN(TRIM(M56))-LEN(SUBSTITUTE(M56," ",""))+1</f>
        <v>8</v>
      </c>
    </row>
    <row r="59" spans="4:14" ht="16.2" thickBot="1" x14ac:dyDescent="0.35">
      <c r="D59" s="353" t="s">
        <v>212</v>
      </c>
      <c r="E59" s="353"/>
      <c r="F59" s="353"/>
      <c r="G59" s="353"/>
      <c r="I59" s="369" t="s">
        <v>213</v>
      </c>
      <c r="J59" s="369"/>
      <c r="K59" s="369"/>
      <c r="M59" s="103" t="s">
        <v>72</v>
      </c>
      <c r="N59" s="103"/>
    </row>
    <row r="60" spans="4:14" ht="193.2" customHeight="1" thickBot="1" x14ac:dyDescent="0.3">
      <c r="D60" s="350" t="s">
        <v>214</v>
      </c>
      <c r="E60" s="351"/>
      <c r="F60" s="351"/>
      <c r="G60" s="352"/>
      <c r="I60" s="350" t="s">
        <v>214</v>
      </c>
      <c r="J60" s="351"/>
      <c r="K60" s="352"/>
      <c r="M60" s="354" t="s">
        <v>215</v>
      </c>
      <c r="N60" s="355"/>
    </row>
    <row r="61" spans="4:14" x14ac:dyDescent="0.25">
      <c r="D61" t="s">
        <v>216</v>
      </c>
      <c r="F61">
        <f>LEN(TRIM(D60))-LEN(SUBSTITUTE(D60," ",""))+1</f>
        <v>7</v>
      </c>
      <c r="I61" t="s">
        <v>216</v>
      </c>
      <c r="J61">
        <f>LEN(TRIM(I60))-LEN(SUBSTITUTE(I60," ",""))+1</f>
        <v>7</v>
      </c>
      <c r="M61" s="42" t="s">
        <v>216</v>
      </c>
      <c r="N61">
        <f>LEN(TRIM(M60))-LEN(SUBSTITUTE(M60," ",""))+1</f>
        <v>8</v>
      </c>
    </row>
    <row r="63" spans="4:14" ht="16.2" thickBot="1" x14ac:dyDescent="0.35">
      <c r="D63" s="353" t="s">
        <v>212</v>
      </c>
      <c r="E63" s="353"/>
      <c r="F63" s="353"/>
      <c r="G63" s="353"/>
      <c r="I63" s="369" t="s">
        <v>213</v>
      </c>
      <c r="J63" s="369"/>
      <c r="K63" s="369"/>
      <c r="M63" s="103" t="s">
        <v>72</v>
      </c>
      <c r="N63" s="103"/>
    </row>
    <row r="64" spans="4:14" ht="207.45" customHeight="1" thickBot="1" x14ac:dyDescent="0.3">
      <c r="D64" s="350" t="s">
        <v>214</v>
      </c>
      <c r="E64" s="351"/>
      <c r="F64" s="351"/>
      <c r="G64" s="352"/>
      <c r="I64" s="350" t="s">
        <v>214</v>
      </c>
      <c r="J64" s="351"/>
      <c r="K64" s="352"/>
      <c r="M64" s="354" t="s">
        <v>215</v>
      </c>
      <c r="N64" s="355"/>
    </row>
    <row r="65" spans="1:14" x14ac:dyDescent="0.25">
      <c r="D65" t="s">
        <v>216</v>
      </c>
      <c r="F65">
        <f>LEN(TRIM(D64))-LEN(SUBSTITUTE(D64," ",""))+1</f>
        <v>7</v>
      </c>
      <c r="I65" t="s">
        <v>216</v>
      </c>
      <c r="J65">
        <f>LEN(TRIM(I64))-LEN(SUBSTITUTE(I64," ",""))+1</f>
        <v>7</v>
      </c>
      <c r="M65" s="42" t="s">
        <v>216</v>
      </c>
      <c r="N65">
        <f>LEN(TRIM(M64))-LEN(SUBSTITUTE(M64," ",""))+1</f>
        <v>8</v>
      </c>
    </row>
    <row r="67" spans="1:14" ht="16.2" thickBot="1" x14ac:dyDescent="0.35">
      <c r="D67" s="353" t="s">
        <v>212</v>
      </c>
      <c r="E67" s="353"/>
      <c r="F67" s="353"/>
      <c r="G67" s="353"/>
      <c r="I67" s="369" t="s">
        <v>213</v>
      </c>
      <c r="J67" s="369"/>
      <c r="K67" s="369"/>
      <c r="M67" s="103" t="s">
        <v>72</v>
      </c>
      <c r="N67" s="103"/>
    </row>
    <row r="68" spans="1:14" ht="174.6" customHeight="1" thickBot="1" x14ac:dyDescent="0.3">
      <c r="D68" s="350" t="s">
        <v>214</v>
      </c>
      <c r="E68" s="351"/>
      <c r="F68" s="351"/>
      <c r="G68" s="352"/>
      <c r="I68" s="350" t="s">
        <v>214</v>
      </c>
      <c r="J68" s="351"/>
      <c r="K68" s="352"/>
      <c r="M68" s="354" t="s">
        <v>215</v>
      </c>
      <c r="N68" s="355"/>
    </row>
    <row r="69" spans="1:14" x14ac:dyDescent="0.25">
      <c r="D69" t="s">
        <v>216</v>
      </c>
      <c r="F69">
        <f>LEN(TRIM(D68))-LEN(SUBSTITUTE(D68," ",""))+1</f>
        <v>7</v>
      </c>
      <c r="I69" t="s">
        <v>216</v>
      </c>
      <c r="J69">
        <f>LEN(TRIM(I68))-LEN(SUBSTITUTE(I68," ",""))+1</f>
        <v>7</v>
      </c>
      <c r="M69" s="42" t="s">
        <v>216</v>
      </c>
      <c r="N69">
        <f>LEN(TRIM(M68))-LEN(SUBSTITUTE(M68," ",""))+1</f>
        <v>8</v>
      </c>
    </row>
    <row r="71" spans="1:14" ht="16.2" thickBot="1" x14ac:dyDescent="0.35">
      <c r="D71" s="353" t="s">
        <v>212</v>
      </c>
      <c r="E71" s="353"/>
      <c r="F71" s="353"/>
      <c r="G71" s="353"/>
      <c r="I71" s="369" t="s">
        <v>213</v>
      </c>
      <c r="J71" s="369"/>
      <c r="K71" s="369"/>
      <c r="M71" s="103" t="s">
        <v>72</v>
      </c>
      <c r="N71" s="103"/>
    </row>
    <row r="72" spans="1:14" ht="165.6" customHeight="1" thickBot="1" x14ac:dyDescent="0.3">
      <c r="D72" s="350" t="s">
        <v>214</v>
      </c>
      <c r="E72" s="351"/>
      <c r="F72" s="351"/>
      <c r="G72" s="352"/>
      <c r="I72" s="350" t="s">
        <v>214</v>
      </c>
      <c r="J72" s="351"/>
      <c r="K72" s="352"/>
      <c r="M72" s="354" t="s">
        <v>215</v>
      </c>
      <c r="N72" s="355"/>
    </row>
    <row r="73" spans="1:14" x14ac:dyDescent="0.25">
      <c r="A73" s="173"/>
      <c r="D73" t="s">
        <v>216</v>
      </c>
      <c r="F73">
        <f>LEN(TRIM(D72))-LEN(SUBSTITUTE(D72," ",""))+1</f>
        <v>7</v>
      </c>
      <c r="I73" t="s">
        <v>216</v>
      </c>
      <c r="J73">
        <f>LEN(TRIM(I72))-LEN(SUBSTITUTE(I72," ",""))+1</f>
        <v>7</v>
      </c>
      <c r="M73" s="42" t="s">
        <v>216</v>
      </c>
      <c r="N73">
        <f>LEN(TRIM(M72))-LEN(SUBSTITUTE(M72," ",""))+1</f>
        <v>8</v>
      </c>
    </row>
    <row r="75" spans="1:14" x14ac:dyDescent="0.25">
      <c r="A75" s="174"/>
    </row>
    <row r="77" spans="1:14" x14ac:dyDescent="0.25">
      <c r="A77" s="178"/>
      <c r="B77" s="177"/>
    </row>
    <row r="79" spans="1:14" x14ac:dyDescent="0.25">
      <c r="B79" s="174"/>
    </row>
  </sheetData>
  <sheetProtection algorithmName="SHA-512" hashValue="2zSdljqkfotTIbQxBc0/MWOmK7kcnVmyK9OR3idwD4wxl3qSdBUhpIKd2mag86PkN/lhBZykAejHKUpavb0STQ==" saltValue="YzcGm+2M3WVeTs0sRJvWZA==" spinCount="100000" sheet="1" objects="1" scenarios="1" selectLockedCells="1"/>
  <mergeCells count="50">
    <mergeCell ref="D67:G67"/>
    <mergeCell ref="D68:G68"/>
    <mergeCell ref="D71:G71"/>
    <mergeCell ref="D72:G72"/>
    <mergeCell ref="I67:K67"/>
    <mergeCell ref="I68:K68"/>
    <mergeCell ref="I71:K71"/>
    <mergeCell ref="I72:K72"/>
    <mergeCell ref="D56:G56"/>
    <mergeCell ref="I59:K59"/>
    <mergeCell ref="I60:K60"/>
    <mergeCell ref="D59:G59"/>
    <mergeCell ref="D60:G60"/>
    <mergeCell ref="D47:G47"/>
    <mergeCell ref="D48:G48"/>
    <mergeCell ref="D51:G51"/>
    <mergeCell ref="D52:G52"/>
    <mergeCell ref="D55:G55"/>
    <mergeCell ref="B2:F2"/>
    <mergeCell ref="M44:N44"/>
    <mergeCell ref="M48:N48"/>
    <mergeCell ref="A41:E41"/>
    <mergeCell ref="A40:F40"/>
    <mergeCell ref="A25:D25"/>
    <mergeCell ref="E26:G26"/>
    <mergeCell ref="A37:C37"/>
    <mergeCell ref="F27:I27"/>
    <mergeCell ref="A27:E27"/>
    <mergeCell ref="I43:K43"/>
    <mergeCell ref="I44:K44"/>
    <mergeCell ref="I47:K47"/>
    <mergeCell ref="I48:K48"/>
    <mergeCell ref="D43:G43"/>
    <mergeCell ref="D44:G44"/>
    <mergeCell ref="M60:N60"/>
    <mergeCell ref="M64:N64"/>
    <mergeCell ref="M68:N68"/>
    <mergeCell ref="M72:N72"/>
    <mergeCell ref="A14:D14"/>
    <mergeCell ref="A24:F24"/>
    <mergeCell ref="I52:K52"/>
    <mergeCell ref="M52:N52"/>
    <mergeCell ref="I56:K56"/>
    <mergeCell ref="I51:K51"/>
    <mergeCell ref="I55:K55"/>
    <mergeCell ref="M56:N56"/>
    <mergeCell ref="I63:K63"/>
    <mergeCell ref="I64:K64"/>
    <mergeCell ref="D63:G63"/>
    <mergeCell ref="D64:G64"/>
  </mergeCells>
  <dataValidations count="1">
    <dataValidation type="custom" allowBlank="1" showErrorMessage="1" error="Le nombre de mots de cette zone de commentaire semble être supérieur à 150" sqref="D44:G44 M72:N72 M68:N68 M64:N64 M60:N60 M56:N56 M52:N52 M48:N48 M44:N44 I72:K72 I68:K68 I64:K64 I60:K60 I56:K56 I52:K52 I48:K48 I44:K44 D72:G72 D68:G68 D64:G64 D60:G60 D56:G56 D52:G52 D48:G48" xr:uid="{D2DA7B0B-7149-43DD-BDE0-E66E37A80643}">
      <formula1>LEN(TRIM(D44))-LEN(SUBSTITUTE(D44," ",""))+1&lt;=150</formula1>
    </dataValidation>
  </dataValidations>
  <pageMargins left="0.7" right="0.7" top="0.75" bottom="0.75" header="0.3" footer="0.3"/>
  <pageSetup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81405A01-BE54-4E10-BC68-3F95D3DA4914}">
          <x14:formula1>
            <xm:f>Feuil_M!$A$3:$A$8</xm:f>
          </x14:formula1>
          <xm:sqref>H29:H36 F29:F36 D29:D36 B29:B36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9930A-68C0-487A-A5E9-DC0010BC8AF9}">
  <sheetPr codeName="Feuil9">
    <tabColor rgb="FFC1C2DA"/>
  </sheetPr>
  <dimension ref="A1:O85"/>
  <sheetViews>
    <sheetView showGridLines="0" showRowColHeaders="0" zoomScale="65" zoomScaleNormal="65" workbookViewId="0">
      <selection activeCell="B29" sqref="B29"/>
    </sheetView>
  </sheetViews>
  <sheetFormatPr baseColWidth="10" defaultColWidth="11" defaultRowHeight="13.8" x14ac:dyDescent="0.25"/>
  <cols>
    <col min="1" max="1" width="26.69921875" customWidth="1"/>
    <col min="2" max="2" width="27.69921875" customWidth="1"/>
    <col min="3" max="3" width="45.19921875" hidden="1" customWidth="1"/>
    <col min="4" max="4" width="27.69921875" customWidth="1"/>
    <col min="5" max="5" width="31" hidden="1" customWidth="1"/>
    <col min="6" max="7" width="27.69921875" customWidth="1"/>
    <col min="8" max="8" width="32.69921875" customWidth="1"/>
    <col min="9" max="11" width="30.69921875" customWidth="1"/>
    <col min="12" max="12" width="15.69921875" customWidth="1"/>
    <col min="13" max="14" width="40.69921875" customWidth="1"/>
  </cols>
  <sheetData>
    <row r="1" spans="1:8" ht="21" customHeight="1" x14ac:dyDescent="0.25">
      <c r="A1" s="9"/>
    </row>
    <row r="2" spans="1:8" ht="22.2" customHeight="1" x14ac:dyDescent="0.25">
      <c r="A2" s="9"/>
      <c r="B2" s="373" t="s">
        <v>0</v>
      </c>
      <c r="C2" s="373"/>
      <c r="D2" s="373"/>
      <c r="E2" s="373"/>
      <c r="F2" s="373"/>
    </row>
    <row r="3" spans="1:8" ht="21.45" customHeight="1" x14ac:dyDescent="0.25">
      <c r="A3" s="9"/>
    </row>
    <row r="13" spans="1:8" ht="13.95" customHeight="1" x14ac:dyDescent="0.25"/>
    <row r="14" spans="1:8" ht="22.95" customHeight="1" x14ac:dyDescent="0.4">
      <c r="A14" s="361" t="s">
        <v>193</v>
      </c>
      <c r="B14" s="314"/>
      <c r="C14" s="314"/>
      <c r="D14" s="314"/>
    </row>
    <row r="15" spans="1:8" ht="14.4" customHeight="1" thickBot="1" x14ac:dyDescent="0.3"/>
    <row r="16" spans="1:8" ht="31.95" customHeight="1" x14ac:dyDescent="0.3">
      <c r="A16" s="39" t="s">
        <v>6</v>
      </c>
      <c r="B16" s="39" t="s">
        <v>47</v>
      </c>
      <c r="C16" s="87"/>
      <c r="D16" s="39" t="s">
        <v>7</v>
      </c>
      <c r="F16" s="39" t="s">
        <v>8</v>
      </c>
      <c r="G16" s="39" t="s">
        <v>9</v>
      </c>
      <c r="H16" s="39" t="s">
        <v>10</v>
      </c>
    </row>
    <row r="17" spans="1:11" ht="31.95" customHeight="1" thickBot="1" x14ac:dyDescent="0.3">
      <c r="A17" s="47" t="s">
        <v>195</v>
      </c>
      <c r="B17" s="277" t="s">
        <v>11</v>
      </c>
      <c r="C17" s="278"/>
      <c r="D17" s="277" t="s">
        <v>12</v>
      </c>
      <c r="E17" s="276"/>
      <c r="F17" s="277" t="s">
        <v>13</v>
      </c>
      <c r="G17" s="277" t="s">
        <v>14</v>
      </c>
      <c r="H17" s="277" t="s">
        <v>15</v>
      </c>
    </row>
    <row r="18" spans="1:11" ht="31.95" customHeight="1" thickBot="1" x14ac:dyDescent="0.3">
      <c r="A18" s="47" t="s">
        <v>16</v>
      </c>
      <c r="B18" s="284" t="s">
        <v>200</v>
      </c>
      <c r="C18" s="283"/>
      <c r="D18" s="284" t="s">
        <v>201</v>
      </c>
      <c r="E18" s="276"/>
      <c r="F18" s="280" t="s">
        <v>17</v>
      </c>
      <c r="G18" s="280" t="s">
        <v>18</v>
      </c>
      <c r="H18" s="280" t="s">
        <v>19</v>
      </c>
    </row>
    <row r="19" spans="1:11" ht="31.95" customHeight="1" thickBot="1" x14ac:dyDescent="0.3">
      <c r="A19" s="88" t="s">
        <v>20</v>
      </c>
      <c r="B19" s="281" t="s">
        <v>21</v>
      </c>
      <c r="C19" s="282"/>
      <c r="D19" s="281" t="s">
        <v>187</v>
      </c>
      <c r="E19" s="276"/>
      <c r="F19" s="281" t="s">
        <v>188</v>
      </c>
      <c r="G19" s="281" t="s">
        <v>194</v>
      </c>
      <c r="H19" s="281" t="s">
        <v>22</v>
      </c>
    </row>
    <row r="20" spans="1:11" ht="13.95" customHeight="1" x14ac:dyDescent="0.25"/>
    <row r="23" spans="1:11" ht="13.95" customHeight="1" x14ac:dyDescent="0.25"/>
    <row r="24" spans="1:11" ht="22.95" customHeight="1" x14ac:dyDescent="0.4">
      <c r="A24" s="368" t="s">
        <v>208</v>
      </c>
      <c r="B24" s="368"/>
      <c r="C24" s="368"/>
      <c r="D24" s="368"/>
      <c r="E24" s="368"/>
      <c r="F24" s="368"/>
      <c r="G24" s="2"/>
      <c r="I24" s="1"/>
      <c r="J24" s="1"/>
      <c r="K24" s="1"/>
    </row>
    <row r="25" spans="1:11" ht="19.2" customHeight="1" x14ac:dyDescent="0.3">
      <c r="A25" s="367" t="s">
        <v>48</v>
      </c>
      <c r="B25" s="367"/>
      <c r="C25" s="367"/>
      <c r="D25" s="367"/>
      <c r="I25" s="1"/>
      <c r="J25" s="1"/>
      <c r="K25" s="1"/>
    </row>
    <row r="26" spans="1:11" ht="15.6" thickBot="1" x14ac:dyDescent="0.3">
      <c r="E26" s="366"/>
      <c r="F26" s="366"/>
      <c r="G26" s="366"/>
      <c r="I26" s="1"/>
      <c r="J26" s="1"/>
      <c r="K26" s="1"/>
    </row>
    <row r="27" spans="1:11" ht="22.2" customHeight="1" thickBot="1" x14ac:dyDescent="0.45">
      <c r="A27" s="362" t="s">
        <v>49</v>
      </c>
      <c r="B27" s="390"/>
      <c r="C27" s="390"/>
      <c r="D27" s="390"/>
      <c r="E27" s="390"/>
      <c r="F27" s="391" t="s">
        <v>50</v>
      </c>
      <c r="G27" s="390"/>
      <c r="H27" s="390"/>
      <c r="I27" s="392"/>
      <c r="J27" s="1"/>
      <c r="K27" s="1"/>
    </row>
    <row r="28" spans="1:11" ht="34.950000000000003" customHeight="1" thickBot="1" x14ac:dyDescent="0.35">
      <c r="A28" s="18" t="s">
        <v>238</v>
      </c>
      <c r="B28" s="36" t="s">
        <v>51</v>
      </c>
      <c r="C28" s="113" t="s">
        <v>52</v>
      </c>
      <c r="D28" s="123" t="s">
        <v>191</v>
      </c>
      <c r="E28" s="153" t="s">
        <v>53</v>
      </c>
      <c r="F28" s="154" t="s">
        <v>54</v>
      </c>
      <c r="G28" s="110" t="s">
        <v>55</v>
      </c>
      <c r="H28" s="37" t="s">
        <v>209</v>
      </c>
      <c r="I28" s="110" t="s">
        <v>56</v>
      </c>
      <c r="J28" t="s">
        <v>57</v>
      </c>
    </row>
    <row r="29" spans="1:11" ht="18" thickBot="1" x14ac:dyDescent="0.35">
      <c r="A29" s="19" t="s">
        <v>58</v>
      </c>
      <c r="B29" s="295" t="s">
        <v>61</v>
      </c>
      <c r="C29" s="49" t="str">
        <f>VLOOKUP(Tableau8[[#This Row],[Personne enseignante]],Feuil_M!$A$3:$B$8,2,FALSE)</f>
        <v>-</v>
      </c>
      <c r="D29" s="295" t="s">
        <v>61</v>
      </c>
      <c r="E29" s="152" t="str">
        <f>VLOOKUP(Tableau8[[#This Row],[Responsable de l’encadrement]],Feuil_M!$A$3:$B$8,2,FALSE)</f>
        <v>-</v>
      </c>
      <c r="F29" s="303" t="s">
        <v>61</v>
      </c>
      <c r="G29" s="49" t="str">
        <f>VLOOKUP(Tableau8[[#This Row],[Personne enseignante2]],Feuil_M!$A$3:$B$8,2,FALSE)</f>
        <v>-</v>
      </c>
      <c r="H29" s="295" t="s">
        <v>61</v>
      </c>
      <c r="I29" s="50" t="str">
        <f>VLOOKUP(Tableau8[[#This Row],[Responsable de l’encadrement2]],Feuil_M!$A$3:$B$8,2,FALSE)</f>
        <v>-</v>
      </c>
    </row>
    <row r="30" spans="1:11" ht="18" thickBot="1" x14ac:dyDescent="0.35">
      <c r="A30" s="19" t="s">
        <v>62</v>
      </c>
      <c r="B30" s="295" t="s">
        <v>61</v>
      </c>
      <c r="C30" s="49" t="str">
        <f>VLOOKUP(Tableau8[[#This Row],[Personne enseignante]],Feuil_M!$A$3:$B$8,2,FALSE)</f>
        <v>-</v>
      </c>
      <c r="D30" s="295" t="s">
        <v>61</v>
      </c>
      <c r="E30" s="152" t="str">
        <f>VLOOKUP(Tableau8[[#This Row],[Responsable de l’encadrement]],Feuil_M!$A$3:$B$8,2,FALSE)</f>
        <v>-</v>
      </c>
      <c r="F30" s="303" t="s">
        <v>61</v>
      </c>
      <c r="G30" s="49" t="str">
        <f>VLOOKUP(Tableau8[[#This Row],[Personne enseignante2]],Feuil_M!$A$3:$B$8,2,FALSE)</f>
        <v>-</v>
      </c>
      <c r="H30" s="295" t="s">
        <v>61</v>
      </c>
      <c r="I30" s="50" t="str">
        <f>VLOOKUP(Tableau8[[#This Row],[Responsable de l’encadrement2]],Feuil_M!$A$3:$B$8,2,FALSE)</f>
        <v>-</v>
      </c>
    </row>
    <row r="31" spans="1:11" ht="18" thickBot="1" x14ac:dyDescent="0.35">
      <c r="A31" s="19" t="s">
        <v>64</v>
      </c>
      <c r="B31" s="295" t="s">
        <v>61</v>
      </c>
      <c r="C31" s="49" t="str">
        <f>VLOOKUP(Tableau8[[#This Row],[Personne enseignante]],Feuil_M!$A$3:$B$8,2,FALSE)</f>
        <v>-</v>
      </c>
      <c r="D31" s="295" t="s">
        <v>61</v>
      </c>
      <c r="E31" s="50" t="str">
        <f>VLOOKUP(Tableau8[[#This Row],[Responsable de l’encadrement]],Feuil_M!$A$3:$B$8,2,FALSE)</f>
        <v>-</v>
      </c>
      <c r="F31" s="303" t="s">
        <v>61</v>
      </c>
      <c r="G31" s="49" t="str">
        <f>VLOOKUP(Tableau8[[#This Row],[Personne enseignante2]],Feuil_M!$A$3:$B$8,2,FALSE)</f>
        <v>-</v>
      </c>
      <c r="H31" s="295" t="s">
        <v>61</v>
      </c>
      <c r="I31" s="50" t="str">
        <f>VLOOKUP(Tableau8[[#This Row],[Responsable de l’encadrement2]],Feuil_M!$A$3:$B$8,2,FALSE)</f>
        <v>-</v>
      </c>
    </row>
    <row r="32" spans="1:11" ht="18" thickBot="1" x14ac:dyDescent="0.35">
      <c r="A32" s="19" t="s">
        <v>65</v>
      </c>
      <c r="B32" s="295" t="s">
        <v>61</v>
      </c>
      <c r="C32" s="49" t="str">
        <f>VLOOKUP(Tableau8[[#This Row],[Personne enseignante]],Feuil_M!$A$3:$B$8,2,FALSE)</f>
        <v>-</v>
      </c>
      <c r="D32" s="295" t="s">
        <v>61</v>
      </c>
      <c r="E32" s="50" t="str">
        <f>VLOOKUP(Tableau8[[#This Row],[Responsable de l’encadrement]],Feuil_M!$A$3:$B$8,2,FALSE)</f>
        <v>-</v>
      </c>
      <c r="F32" s="303" t="s">
        <v>61</v>
      </c>
      <c r="G32" s="49" t="str">
        <f>VLOOKUP(Tableau8[[#This Row],[Personne enseignante2]],Feuil_M!$A$3:$B$8,2,FALSE)</f>
        <v>-</v>
      </c>
      <c r="H32" s="295" t="s">
        <v>61</v>
      </c>
      <c r="I32" s="50" t="str">
        <f>VLOOKUP(Tableau8[[#This Row],[Responsable de l’encadrement2]],Feuil_M!$A$3:$B$8,2,FALSE)</f>
        <v>-</v>
      </c>
    </row>
    <row r="33" spans="1:15" ht="18" thickBot="1" x14ac:dyDescent="0.35">
      <c r="A33" s="19" t="s">
        <v>67</v>
      </c>
      <c r="B33" s="295" t="s">
        <v>61</v>
      </c>
      <c r="C33" s="49" t="str">
        <f>VLOOKUP(Tableau8[[#This Row],[Personne enseignante]],Feuil_M!$A$3:$B$8,2,FALSE)</f>
        <v>-</v>
      </c>
      <c r="D33" s="295" t="s">
        <v>61</v>
      </c>
      <c r="E33" s="50" t="str">
        <f>VLOOKUP(Tableau8[[#This Row],[Responsable de l’encadrement]],Feuil_M!$A$3:$B$8,2,FALSE)</f>
        <v>-</v>
      </c>
      <c r="F33" s="303" t="s">
        <v>61</v>
      </c>
      <c r="G33" s="49" t="str">
        <f>VLOOKUP(Tableau8[[#This Row],[Personne enseignante2]],Feuil_M!$A$3:$B$8,2,FALSE)</f>
        <v>-</v>
      </c>
      <c r="H33" s="295" t="s">
        <v>61</v>
      </c>
      <c r="I33" s="50" t="str">
        <f>VLOOKUP(Tableau8[[#This Row],[Responsable de l’encadrement2]],Feuil_M!$A$3:$B$8,2,FALSE)</f>
        <v>-</v>
      </c>
    </row>
    <row r="34" spans="1:15" ht="18" thickBot="1" x14ac:dyDescent="0.35">
      <c r="A34" s="19" t="s">
        <v>69</v>
      </c>
      <c r="B34" s="295" t="s">
        <v>61</v>
      </c>
      <c r="C34" s="49" t="str">
        <f>VLOOKUP(Tableau8[[#This Row],[Personne enseignante]],Feuil_M!$A$3:$B$8,2,FALSE)</f>
        <v>-</v>
      </c>
      <c r="D34" s="295" t="s">
        <v>61</v>
      </c>
      <c r="E34" s="50" t="str">
        <f>VLOOKUP(Tableau8[[#This Row],[Responsable de l’encadrement]],Feuil_M!$A$3:$B$8,2,FALSE)</f>
        <v>-</v>
      </c>
      <c r="F34" s="303" t="s">
        <v>61</v>
      </c>
      <c r="G34" s="49" t="str">
        <f>VLOOKUP(Tableau8[[#This Row],[Personne enseignante2]],Feuil_M!$A$3:$B$8,2,FALSE)</f>
        <v>-</v>
      </c>
      <c r="H34" s="295" t="s">
        <v>61</v>
      </c>
      <c r="I34" s="50" t="str">
        <f>VLOOKUP(Tableau8[[#This Row],[Responsable de l’encadrement2]],Feuil_M!$A$3:$B$8,2,FALSE)</f>
        <v>-</v>
      </c>
    </row>
    <row r="35" spans="1:15" ht="18" thickBot="1" x14ac:dyDescent="0.35">
      <c r="A35" s="19" t="s">
        <v>70</v>
      </c>
      <c r="B35" s="295" t="s">
        <v>61</v>
      </c>
      <c r="C35" s="49" t="str">
        <f>VLOOKUP(Tableau8[[#This Row],[Personne enseignante]],Feuil_M!$A$3:$B$8,2,FALSE)</f>
        <v>-</v>
      </c>
      <c r="D35" s="295" t="s">
        <v>61</v>
      </c>
      <c r="E35" s="50" t="str">
        <f>VLOOKUP(Tableau8[[#This Row],[Responsable de l’encadrement]],Feuil_M!$A$3:$B$8,2,FALSE)</f>
        <v>-</v>
      </c>
      <c r="F35" s="303" t="s">
        <v>61</v>
      </c>
      <c r="G35" s="49" t="str">
        <f>VLOOKUP(Tableau8[[#This Row],[Personne enseignante2]],Feuil_M!$A$3:$B$8,2,FALSE)</f>
        <v>-</v>
      </c>
      <c r="H35" s="295" t="s">
        <v>61</v>
      </c>
      <c r="I35" s="50" t="str">
        <f>VLOOKUP(Tableau8[[#This Row],[Responsable de l’encadrement2]],Feuil_M!$A$3:$B$8,2,FALSE)</f>
        <v>-</v>
      </c>
    </row>
    <row r="36" spans="1:15" ht="18" thickBot="1" x14ac:dyDescent="0.35">
      <c r="A36" s="19" t="s">
        <v>71</v>
      </c>
      <c r="B36" s="295" t="s">
        <v>61</v>
      </c>
      <c r="C36" s="49" t="str">
        <f>VLOOKUP(Tableau8[[#This Row],[Personne enseignante]],Feuil_M!$A$3:$B$8,2,FALSE)</f>
        <v>-</v>
      </c>
      <c r="D36" s="295" t="s">
        <v>61</v>
      </c>
      <c r="E36" s="50" t="str">
        <f>VLOOKUP(Tableau8[[#This Row],[Responsable de l’encadrement]],Feuil_M!$A$3:$B$8,2,FALSE)</f>
        <v>-</v>
      </c>
      <c r="F36" s="303" t="s">
        <v>61</v>
      </c>
      <c r="G36" s="49" t="str">
        <f>VLOOKUP(Tableau8[[#This Row],[Personne enseignante2]],Feuil_M!$A$3:$B$8,2,FALSE)</f>
        <v>-</v>
      </c>
      <c r="H36" s="295" t="s">
        <v>61</v>
      </c>
      <c r="I36" s="50" t="str">
        <f>VLOOKUP(Tableau8[[#This Row],[Responsable de l’encadrement2]],Feuil_M!$A$3:$B$8,2,FALSE)</f>
        <v>-</v>
      </c>
    </row>
    <row r="37" spans="1:15" ht="18" thickBot="1" x14ac:dyDescent="0.35">
      <c r="A37" s="19" t="s">
        <v>74</v>
      </c>
      <c r="B37" s="295" t="s">
        <v>61</v>
      </c>
      <c r="C37" s="49" t="str">
        <f>VLOOKUP(Tableau8[[#This Row],[Personne enseignante]],Feuil_M!$A$3:$B$8,2,FALSE)</f>
        <v>-</v>
      </c>
      <c r="D37" s="295" t="s">
        <v>61</v>
      </c>
      <c r="E37" s="152" t="str">
        <f>VLOOKUP(Tableau8[[#This Row],[Responsable de l’encadrement]],Feuil_M!$A$3:$B$8,2,FALSE)</f>
        <v>-</v>
      </c>
      <c r="F37" s="303" t="s">
        <v>61</v>
      </c>
      <c r="G37" s="49" t="str">
        <f>VLOOKUP(Tableau8[[#This Row],[Personne enseignante2]],Feuil_M!$A$3:$B$8,2,FALSE)</f>
        <v>-</v>
      </c>
      <c r="H37" s="295" t="s">
        <v>61</v>
      </c>
      <c r="I37" s="50" t="str">
        <f>VLOOKUP(Tableau8[[#This Row],[Responsable de l’encadrement2]],Feuil_M!$A$3:$B$8,2,FALSE)</f>
        <v>-</v>
      </c>
    </row>
    <row r="38" spans="1:15" ht="18" thickBot="1" x14ac:dyDescent="0.35">
      <c r="A38" s="363"/>
      <c r="B38" s="364"/>
      <c r="C38" s="364"/>
      <c r="D38" s="63"/>
      <c r="E38" s="28"/>
      <c r="F38" s="12"/>
      <c r="G38" s="4"/>
      <c r="H38" s="4"/>
      <c r="I38" s="17"/>
    </row>
    <row r="39" spans="1:15" ht="18" thickBot="1" x14ac:dyDescent="0.35">
      <c r="A39" s="101" t="s">
        <v>211</v>
      </c>
      <c r="B39" s="54"/>
      <c r="C39" s="164" t="str">
        <f>IF(SUBTOTAL(102,Tableau8[Résultats For1])=0,"",SUBTOTAL(101,Tableau8[Résultats For1]))</f>
        <v/>
      </c>
      <c r="D39" s="67" t="s">
        <v>73</v>
      </c>
      <c r="E39" s="164" t="str">
        <f>IF(SUBTOTAL(102,Tableau8[Résultats For2])=0,"",SUBTOTAL(101,Tableau8[Résultats For2]))</f>
        <v/>
      </c>
      <c r="F39" s="52"/>
      <c r="G39" s="164" t="str">
        <f>IF(SUBTOTAL(102,Tableau8[Résultats Som1])=0,"",SUBTOTAL(101,Tableau8[Résultats Som1]))</f>
        <v/>
      </c>
      <c r="H39" s="51"/>
      <c r="I39" s="165" t="str">
        <f>IF(SUBTOTAL(102,Tableau8[Résultats Som2])=0,"",SUBTOTAL(101,Tableau8[Résultats Som2]))</f>
        <v/>
      </c>
    </row>
    <row r="41" spans="1:15" ht="13.95" customHeight="1" x14ac:dyDescent="0.4">
      <c r="A41" s="368"/>
      <c r="B41" s="368"/>
      <c r="C41" s="368"/>
      <c r="D41" s="368"/>
      <c r="E41" s="368"/>
      <c r="F41" s="368"/>
      <c r="G41" s="1"/>
      <c r="H41" s="1"/>
      <c r="I41" s="1"/>
      <c r="J41" s="1"/>
      <c r="K41" s="1"/>
    </row>
    <row r="42" spans="1:15" ht="31.95" customHeight="1" x14ac:dyDescent="0.3">
      <c r="A42" s="314" t="s">
        <v>236</v>
      </c>
      <c r="B42" s="314"/>
      <c r="C42" s="314"/>
      <c r="D42" s="314"/>
      <c r="E42" s="314"/>
      <c r="G42" s="1"/>
      <c r="H42" s="1"/>
      <c r="I42" s="1"/>
      <c r="J42" s="1"/>
      <c r="K42" s="1"/>
    </row>
    <row r="43" spans="1:15" ht="13.2" customHeight="1" x14ac:dyDescent="0.3">
      <c r="A43" s="1"/>
      <c r="B43" s="1"/>
      <c r="D43" s="103"/>
      <c r="E43" s="103"/>
      <c r="F43" s="103"/>
      <c r="G43" s="43"/>
      <c r="I43" s="103"/>
      <c r="J43" s="103"/>
      <c r="K43" s="103"/>
      <c r="M43" s="103"/>
      <c r="N43" s="103"/>
    </row>
    <row r="44" spans="1:15" ht="18.600000000000001" customHeight="1" thickBot="1" x14ac:dyDescent="0.35">
      <c r="D44" s="369" t="s">
        <v>212</v>
      </c>
      <c r="E44" s="369"/>
      <c r="F44" s="369"/>
      <c r="G44" s="369"/>
      <c r="I44" s="353" t="s">
        <v>213</v>
      </c>
      <c r="J44" s="353"/>
      <c r="K44" s="353"/>
      <c r="M44" s="353" t="s">
        <v>72</v>
      </c>
      <c r="N44" s="353"/>
    </row>
    <row r="45" spans="1:15" ht="163.19999999999999" customHeight="1" thickBot="1" x14ac:dyDescent="0.3">
      <c r="D45" s="350" t="s">
        <v>214</v>
      </c>
      <c r="E45" s="351"/>
      <c r="F45" s="351"/>
      <c r="G45" s="352"/>
      <c r="I45" s="350" t="s">
        <v>214</v>
      </c>
      <c r="J45" s="351"/>
      <c r="K45" s="352"/>
      <c r="M45" s="354" t="s">
        <v>215</v>
      </c>
      <c r="N45" s="355"/>
      <c r="O45" s="44"/>
    </row>
    <row r="46" spans="1:15" ht="13.95" customHeight="1" x14ac:dyDescent="0.25">
      <c r="D46" t="s">
        <v>216</v>
      </c>
      <c r="F46">
        <f>LEN(TRIM(D45))-LEN(SUBSTITUTE(D45," ",""))+1</f>
        <v>7</v>
      </c>
      <c r="I46" t="s">
        <v>216</v>
      </c>
      <c r="J46">
        <f>LEN(TRIM(I45))-LEN(SUBSTITUTE(I45," ",""))+1</f>
        <v>7</v>
      </c>
      <c r="K46" s="97"/>
      <c r="M46" t="s">
        <v>216</v>
      </c>
      <c r="N46">
        <f>LEN(TRIM(M45))-LEN(SUBSTITUTE(M45," ",""))+1</f>
        <v>8</v>
      </c>
    </row>
    <row r="47" spans="1:15" ht="16.2" customHeight="1" x14ac:dyDescent="0.25">
      <c r="E47" s="16"/>
      <c r="G47" s="16"/>
      <c r="K47" s="97"/>
    </row>
    <row r="48" spans="1:15" ht="16.2" customHeight="1" thickBot="1" x14ac:dyDescent="0.35">
      <c r="D48" s="353" t="s">
        <v>237</v>
      </c>
      <c r="E48" s="353"/>
      <c r="F48" s="353"/>
      <c r="G48" s="43"/>
      <c r="I48" s="353" t="s">
        <v>213</v>
      </c>
      <c r="J48" s="353"/>
      <c r="K48" s="353"/>
      <c r="M48" s="353" t="s">
        <v>72</v>
      </c>
      <c r="N48" s="353"/>
    </row>
    <row r="49" spans="4:15" ht="163.95" customHeight="1" thickBot="1" x14ac:dyDescent="0.3">
      <c r="D49" s="350" t="s">
        <v>214</v>
      </c>
      <c r="E49" s="351"/>
      <c r="F49" s="351"/>
      <c r="G49" s="352"/>
      <c r="I49" s="350" t="s">
        <v>214</v>
      </c>
      <c r="J49" s="351"/>
      <c r="K49" s="352"/>
      <c r="M49" s="354" t="s">
        <v>215</v>
      </c>
      <c r="N49" s="355"/>
      <c r="O49" s="44"/>
    </row>
    <row r="50" spans="4:15" ht="14.7" customHeight="1" x14ac:dyDescent="0.25">
      <c r="D50" t="s">
        <v>216</v>
      </c>
      <c r="F50">
        <f>LEN(TRIM(D49))-LEN(SUBSTITUTE(D49," ",""))+1</f>
        <v>7</v>
      </c>
      <c r="I50" t="s">
        <v>216</v>
      </c>
      <c r="J50">
        <f>LEN(TRIM(I49))-LEN(SUBSTITUTE(I49," ",""))+1</f>
        <v>7</v>
      </c>
      <c r="K50" s="97"/>
      <c r="M50" t="s">
        <v>216</v>
      </c>
      <c r="N50">
        <f>LEN(TRIM(M49))-LEN(SUBSTITUTE(M49," ",""))+1</f>
        <v>8</v>
      </c>
    </row>
    <row r="51" spans="4:15" x14ac:dyDescent="0.25">
      <c r="I51" s="97"/>
      <c r="J51" s="97"/>
      <c r="K51" s="97"/>
    </row>
    <row r="52" spans="4:15" ht="13.95" customHeight="1" thickBot="1" x14ac:dyDescent="0.35">
      <c r="D52" s="353" t="s">
        <v>237</v>
      </c>
      <c r="E52" s="353"/>
      <c r="F52" s="353"/>
      <c r="G52" s="43"/>
      <c r="I52" s="353" t="s">
        <v>213</v>
      </c>
      <c r="J52" s="353"/>
      <c r="K52" s="353"/>
      <c r="M52" s="353" t="s">
        <v>72</v>
      </c>
      <c r="N52" s="353"/>
    </row>
    <row r="53" spans="4:15" ht="163.95" customHeight="1" thickBot="1" x14ac:dyDescent="0.3">
      <c r="D53" s="350" t="s">
        <v>214</v>
      </c>
      <c r="E53" s="351"/>
      <c r="F53" s="351"/>
      <c r="G53" s="352"/>
      <c r="I53" s="350" t="s">
        <v>214</v>
      </c>
      <c r="J53" s="351"/>
      <c r="K53" s="352"/>
      <c r="M53" s="354" t="s">
        <v>215</v>
      </c>
      <c r="N53" s="355"/>
      <c r="O53" s="44"/>
    </row>
    <row r="54" spans="4:15" ht="18" customHeight="1" x14ac:dyDescent="0.25">
      <c r="D54" t="s">
        <v>216</v>
      </c>
      <c r="F54">
        <f>LEN(TRIM(D53))-LEN(SUBSTITUTE(D53," ",""))+1</f>
        <v>7</v>
      </c>
      <c r="I54" t="s">
        <v>216</v>
      </c>
      <c r="J54">
        <f>LEN(TRIM(I53))-LEN(SUBSTITUTE(I53," ",""))+1</f>
        <v>7</v>
      </c>
      <c r="K54" s="97"/>
      <c r="M54" t="s">
        <v>216</v>
      </c>
      <c r="N54">
        <f>LEN(TRIM(M53))-LEN(SUBSTITUTE(M53," ",""))+1</f>
        <v>8</v>
      </c>
    </row>
    <row r="56" spans="4:15" ht="16.2" thickBot="1" x14ac:dyDescent="0.35">
      <c r="D56" s="353" t="s">
        <v>237</v>
      </c>
      <c r="E56" s="353"/>
      <c r="F56" s="353"/>
      <c r="G56" s="43"/>
      <c r="I56" s="353" t="s">
        <v>213</v>
      </c>
      <c r="J56" s="353"/>
      <c r="K56" s="353"/>
      <c r="M56" s="353" t="s">
        <v>72</v>
      </c>
      <c r="N56" s="353"/>
    </row>
    <row r="57" spans="4:15" ht="157.19999999999999" customHeight="1" thickBot="1" x14ac:dyDescent="0.3">
      <c r="D57" s="350" t="s">
        <v>214</v>
      </c>
      <c r="E57" s="351"/>
      <c r="F57" s="351"/>
      <c r="G57" s="352"/>
      <c r="I57" s="350" t="s">
        <v>214</v>
      </c>
      <c r="J57" s="351"/>
      <c r="K57" s="352"/>
      <c r="M57" s="354" t="s">
        <v>215</v>
      </c>
      <c r="N57" s="355"/>
    </row>
    <row r="58" spans="4:15" x14ac:dyDescent="0.25">
      <c r="D58" t="s">
        <v>216</v>
      </c>
      <c r="F58">
        <f>LEN(TRIM(D57))-LEN(SUBSTITUTE(D57," ",""))+1</f>
        <v>7</v>
      </c>
      <c r="I58" t="s">
        <v>216</v>
      </c>
      <c r="J58">
        <f>LEN(TRIM(I57))-LEN(SUBSTITUTE(I57," ",""))+1</f>
        <v>7</v>
      </c>
      <c r="K58" s="97"/>
      <c r="M58" t="s">
        <v>216</v>
      </c>
      <c r="N58">
        <f>LEN(TRIM(M57))-LEN(SUBSTITUTE(M57," ",""))+1</f>
        <v>8</v>
      </c>
    </row>
    <row r="61" spans="4:15" ht="16.2" thickBot="1" x14ac:dyDescent="0.35">
      <c r="D61" s="353" t="s">
        <v>237</v>
      </c>
      <c r="E61" s="353"/>
      <c r="F61" s="353"/>
      <c r="G61" s="43"/>
      <c r="I61" s="353" t="s">
        <v>213</v>
      </c>
      <c r="J61" s="353"/>
      <c r="K61" s="353"/>
      <c r="M61" s="353" t="s">
        <v>72</v>
      </c>
      <c r="N61" s="353"/>
    </row>
    <row r="62" spans="4:15" ht="156.44999999999999" customHeight="1" thickBot="1" x14ac:dyDescent="0.3">
      <c r="D62" s="350" t="s">
        <v>214</v>
      </c>
      <c r="E62" s="351"/>
      <c r="F62" s="351"/>
      <c r="G62" s="352"/>
      <c r="I62" s="350" t="s">
        <v>214</v>
      </c>
      <c r="J62" s="351"/>
      <c r="K62" s="352"/>
      <c r="M62" s="354" t="s">
        <v>215</v>
      </c>
      <c r="N62" s="355"/>
    </row>
    <row r="63" spans="4:15" x14ac:dyDescent="0.25">
      <c r="D63" t="s">
        <v>216</v>
      </c>
      <c r="F63">
        <f>LEN(TRIM(D62))-LEN(SUBSTITUTE(D62," ",""))+1</f>
        <v>7</v>
      </c>
      <c r="I63" t="s">
        <v>216</v>
      </c>
      <c r="J63">
        <f>LEN(TRIM(I62))-LEN(SUBSTITUTE(I62," ",""))+1</f>
        <v>7</v>
      </c>
      <c r="K63" s="97"/>
      <c r="M63" t="s">
        <v>216</v>
      </c>
      <c r="N63">
        <f>LEN(TRIM(M62))-LEN(SUBSTITUTE(M62," ",""))+1</f>
        <v>8</v>
      </c>
    </row>
    <row r="65" spans="1:14" ht="16.2" thickBot="1" x14ac:dyDescent="0.35">
      <c r="D65" s="353" t="s">
        <v>237</v>
      </c>
      <c r="E65" s="353"/>
      <c r="F65" s="353"/>
      <c r="G65" s="43"/>
      <c r="I65" s="353" t="s">
        <v>213</v>
      </c>
      <c r="J65" s="353"/>
      <c r="K65" s="353"/>
      <c r="M65" s="353" t="s">
        <v>72</v>
      </c>
      <c r="N65" s="353"/>
    </row>
    <row r="66" spans="1:14" ht="159.44999999999999" customHeight="1" thickBot="1" x14ac:dyDescent="0.3">
      <c r="D66" s="350" t="s">
        <v>214</v>
      </c>
      <c r="E66" s="351"/>
      <c r="F66" s="351"/>
      <c r="G66" s="352"/>
      <c r="I66" s="350" t="s">
        <v>214</v>
      </c>
      <c r="J66" s="351"/>
      <c r="K66" s="352"/>
      <c r="M66" s="354" t="s">
        <v>215</v>
      </c>
      <c r="N66" s="355"/>
    </row>
    <row r="67" spans="1:14" x14ac:dyDescent="0.25">
      <c r="D67" t="s">
        <v>216</v>
      </c>
      <c r="F67">
        <f>LEN(TRIM(D66))-LEN(SUBSTITUTE(D66," ",""))+1</f>
        <v>7</v>
      </c>
      <c r="I67" t="s">
        <v>216</v>
      </c>
      <c r="J67">
        <f>LEN(TRIM(I66))-LEN(SUBSTITUTE(I66," ",""))+1</f>
        <v>7</v>
      </c>
      <c r="K67" s="97"/>
      <c r="M67" t="s">
        <v>216</v>
      </c>
      <c r="N67">
        <f>LEN(TRIM(M66))-LEN(SUBSTITUTE(M66," ",""))+1</f>
        <v>8</v>
      </c>
    </row>
    <row r="69" spans="1:14" ht="16.2" thickBot="1" x14ac:dyDescent="0.35">
      <c r="D69" s="353" t="s">
        <v>237</v>
      </c>
      <c r="E69" s="353"/>
      <c r="F69" s="353"/>
      <c r="G69" s="43"/>
      <c r="I69" s="353" t="s">
        <v>213</v>
      </c>
      <c r="J69" s="353"/>
      <c r="K69" s="353"/>
      <c r="M69" s="353" t="s">
        <v>72</v>
      </c>
      <c r="N69" s="353"/>
    </row>
    <row r="70" spans="1:14" ht="148.94999999999999" customHeight="1" thickBot="1" x14ac:dyDescent="0.3">
      <c r="D70" s="350" t="s">
        <v>214</v>
      </c>
      <c r="E70" s="351"/>
      <c r="F70" s="351"/>
      <c r="G70" s="352"/>
      <c r="I70" s="350" t="s">
        <v>214</v>
      </c>
      <c r="J70" s="351"/>
      <c r="K70" s="352"/>
      <c r="M70" s="354" t="s">
        <v>215</v>
      </c>
      <c r="N70" s="355"/>
    </row>
    <row r="71" spans="1:14" x14ac:dyDescent="0.25">
      <c r="D71" t="s">
        <v>216</v>
      </c>
      <c r="F71">
        <f>LEN(TRIM(D70))-LEN(SUBSTITUTE(D70," ",""))+1</f>
        <v>7</v>
      </c>
      <c r="I71" t="s">
        <v>216</v>
      </c>
      <c r="J71">
        <f>LEN(TRIM(I70))-LEN(SUBSTITUTE(I70," ",""))+1</f>
        <v>7</v>
      </c>
      <c r="K71" s="97"/>
      <c r="M71" t="s">
        <v>216</v>
      </c>
      <c r="N71">
        <f>LEN(TRIM(M70))-LEN(SUBSTITUTE(M70," ",""))+1</f>
        <v>8</v>
      </c>
    </row>
    <row r="73" spans="1:14" ht="16.2" thickBot="1" x14ac:dyDescent="0.35">
      <c r="D73" s="353" t="s">
        <v>237</v>
      </c>
      <c r="E73" s="353"/>
      <c r="F73" s="353"/>
      <c r="G73" s="43"/>
      <c r="I73" s="353" t="s">
        <v>213</v>
      </c>
      <c r="J73" s="353"/>
      <c r="K73" s="353"/>
      <c r="M73" s="353" t="s">
        <v>72</v>
      </c>
      <c r="N73" s="353"/>
    </row>
    <row r="74" spans="1:14" ht="138.6" customHeight="1" thickBot="1" x14ac:dyDescent="0.3">
      <c r="D74" s="350" t="s">
        <v>214</v>
      </c>
      <c r="E74" s="351"/>
      <c r="F74" s="351"/>
      <c r="G74" s="352"/>
      <c r="I74" s="350" t="s">
        <v>214</v>
      </c>
      <c r="J74" s="351"/>
      <c r="K74" s="352"/>
      <c r="M74" s="354" t="s">
        <v>215</v>
      </c>
      <c r="N74" s="355"/>
    </row>
    <row r="75" spans="1:14" x14ac:dyDescent="0.25">
      <c r="D75" t="s">
        <v>216</v>
      </c>
      <c r="F75">
        <f>LEN(TRIM(D74))-LEN(SUBSTITUTE(D74," ",""))+1</f>
        <v>7</v>
      </c>
      <c r="I75" t="s">
        <v>216</v>
      </c>
      <c r="J75">
        <f>LEN(TRIM(I74))-LEN(SUBSTITUTE(I74," ",""))+1</f>
        <v>7</v>
      </c>
      <c r="K75" s="97"/>
      <c r="M75" t="s">
        <v>216</v>
      </c>
      <c r="N75">
        <f>LEN(TRIM(M74))-LEN(SUBSTITUTE(M74," ",""))+1</f>
        <v>8</v>
      </c>
    </row>
    <row r="77" spans="1:14" ht="16.2" thickBot="1" x14ac:dyDescent="0.35">
      <c r="D77" s="353" t="s">
        <v>237</v>
      </c>
      <c r="E77" s="353"/>
      <c r="F77" s="353"/>
      <c r="G77" s="43"/>
      <c r="I77" s="353" t="s">
        <v>213</v>
      </c>
      <c r="J77" s="353"/>
      <c r="K77" s="353"/>
      <c r="M77" s="353" t="s">
        <v>72</v>
      </c>
      <c r="N77" s="353"/>
    </row>
    <row r="78" spans="1:14" ht="143.4" customHeight="1" thickBot="1" x14ac:dyDescent="0.3">
      <c r="D78" s="350" t="s">
        <v>214</v>
      </c>
      <c r="E78" s="351"/>
      <c r="F78" s="351"/>
      <c r="G78" s="352"/>
      <c r="I78" s="350" t="s">
        <v>214</v>
      </c>
      <c r="J78" s="351"/>
      <c r="K78" s="352"/>
      <c r="M78" s="354" t="s">
        <v>215</v>
      </c>
      <c r="N78" s="355"/>
    </row>
    <row r="79" spans="1:14" x14ac:dyDescent="0.25">
      <c r="A79" s="173"/>
      <c r="D79" t="s">
        <v>216</v>
      </c>
      <c r="F79">
        <f>LEN(TRIM(D78))-LEN(SUBSTITUTE(D78," ",""))+1</f>
        <v>7</v>
      </c>
      <c r="I79" t="s">
        <v>216</v>
      </c>
      <c r="J79">
        <f>LEN(TRIM(I78))-LEN(SUBSTITUTE(I78," ",""))+1</f>
        <v>7</v>
      </c>
      <c r="K79" s="97"/>
      <c r="M79" t="s">
        <v>216</v>
      </c>
      <c r="N79">
        <f>LEN(TRIM(M78))-LEN(SUBSTITUTE(M78," ",""))+1</f>
        <v>8</v>
      </c>
    </row>
    <row r="81" spans="1:2" x14ac:dyDescent="0.25">
      <c r="A81" s="174"/>
    </row>
    <row r="83" spans="1:2" x14ac:dyDescent="0.25">
      <c r="A83" s="178"/>
      <c r="B83" s="177"/>
    </row>
    <row r="85" spans="1:2" x14ac:dyDescent="0.25">
      <c r="B85" s="174"/>
    </row>
  </sheetData>
  <sheetProtection algorithmName="SHA-512" hashValue="3TV8f9+QUTreStCRgKyNtpl6m/zxn1j9dV/UCBZB1rewi1866Auu9M3vGFk2d+H6U4EkTUjaj0MD5zpKU6PXyg==" saltValue="LspsD6U+osEDJGnv/m+x1g==" spinCount="100000" sheet="1" objects="1" scenarios="1" selectLockedCells="1"/>
  <mergeCells count="64">
    <mergeCell ref="M53:N53"/>
    <mergeCell ref="A24:F24"/>
    <mergeCell ref="B2:F2"/>
    <mergeCell ref="D65:F65"/>
    <mergeCell ref="I65:K65"/>
    <mergeCell ref="M65:N65"/>
    <mergeCell ref="D56:F56"/>
    <mergeCell ref="I56:K56"/>
    <mergeCell ref="M56:N56"/>
    <mergeCell ref="I57:K57"/>
    <mergeCell ref="M57:N57"/>
    <mergeCell ref="M45:N45"/>
    <mergeCell ref="M48:N48"/>
    <mergeCell ref="M49:N49"/>
    <mergeCell ref="M52:N52"/>
    <mergeCell ref="I52:K52"/>
    <mergeCell ref="M66:N66"/>
    <mergeCell ref="I61:K61"/>
    <mergeCell ref="M61:N61"/>
    <mergeCell ref="I62:K62"/>
    <mergeCell ref="M62:N62"/>
    <mergeCell ref="A38:C38"/>
    <mergeCell ref="A25:D25"/>
    <mergeCell ref="E26:G26"/>
    <mergeCell ref="A14:D14"/>
    <mergeCell ref="F27:I27"/>
    <mergeCell ref="A27:E27"/>
    <mergeCell ref="A42:E42"/>
    <mergeCell ref="A41:F41"/>
    <mergeCell ref="I45:K45"/>
    <mergeCell ref="D45:G45"/>
    <mergeCell ref="D49:G49"/>
    <mergeCell ref="I49:K49"/>
    <mergeCell ref="D53:G53"/>
    <mergeCell ref="I48:K48"/>
    <mergeCell ref="D48:F48"/>
    <mergeCell ref="D52:F52"/>
    <mergeCell ref="I73:K73"/>
    <mergeCell ref="I66:K66"/>
    <mergeCell ref="I53:K53"/>
    <mergeCell ref="I74:K74"/>
    <mergeCell ref="I78:K78"/>
    <mergeCell ref="D57:G57"/>
    <mergeCell ref="D62:G62"/>
    <mergeCell ref="D66:G66"/>
    <mergeCell ref="D69:F69"/>
    <mergeCell ref="D70:G70"/>
    <mergeCell ref="D61:F61"/>
    <mergeCell ref="M78:N78"/>
    <mergeCell ref="I44:K44"/>
    <mergeCell ref="M44:N44"/>
    <mergeCell ref="D44:G44"/>
    <mergeCell ref="M69:N69"/>
    <mergeCell ref="M70:N70"/>
    <mergeCell ref="M73:N73"/>
    <mergeCell ref="M74:N74"/>
    <mergeCell ref="I77:K77"/>
    <mergeCell ref="M77:N77"/>
    <mergeCell ref="D73:F73"/>
    <mergeCell ref="D74:G74"/>
    <mergeCell ref="D77:F77"/>
    <mergeCell ref="D78:G78"/>
    <mergeCell ref="I69:K69"/>
    <mergeCell ref="I70:K70"/>
  </mergeCells>
  <dataValidations count="2">
    <dataValidation type="custom" allowBlank="1" showErrorMessage="1" error="Le nombre de mots de cette zone de commentaire semble être supérieur à 150." sqref="D74 D78 D53 D57 D62 D66 D70" xr:uid="{4BC05D1F-E580-4BB8-B956-ACD31B8915F0}">
      <formula1>LEN(TRIM(D53))-LEN(SUBSTITUTE(D53," ",""))+1&lt;=150</formula1>
    </dataValidation>
    <dataValidation type="custom" allowBlank="1" showErrorMessage="1" error="Le nombre de mots de cette zone de commentaire semble être supérieur à 150" sqref="D45:G45 M78:N78 M74:N74 M70:N70 M66:N66 M62:N62 M57:N57 M53:N53 M49:N49 M45:N45 I78:K78 I74:K74 I70:K70 I66:K66 I62:K62 I57:K57 I53:K53 I49:K49 I45:K45 D49:G49" xr:uid="{D9E78B30-A846-40DF-AFAB-A10CDF4D2E36}">
      <formula1>LEN(TRIM(D45))-LEN(SUBSTITUTE(D45," ",""))+1&lt;=150</formula1>
    </dataValidation>
  </dataValidations>
  <pageMargins left="0.7" right="0.7" top="0.75" bottom="0.75" header="0.3" footer="0.3"/>
  <pageSetup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79D6CC82-31E1-4996-9E77-C66FE234FBEA}">
          <x14:formula1>
            <xm:f>Feuil_M!$A$3:$A$8</xm:f>
          </x14:formula1>
          <xm:sqref>H29:H37 B29:B37 F29:F37 D29:D37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fde8d06-b086-49a9-9466-1a62f3402bb2">
      <Terms xmlns="http://schemas.microsoft.com/office/infopath/2007/PartnerControls"/>
    </lcf76f155ced4ddcb4097134ff3c332f>
    <TaxCatchAll xmlns="c6cc0a89-2310-487b-b118-185cdfbc6914" xsi:nil="true"/>
    <Dates xmlns="9fde8d06-b086-49a9-9466-1a62f3402bb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02F6B9C4723D4581C95D56151F8824" ma:contentTypeVersion="14" ma:contentTypeDescription="Crée un document." ma:contentTypeScope="" ma:versionID="d8df08d8e104ffd819d65fce8d710870">
  <xsd:schema xmlns:xsd="http://www.w3.org/2001/XMLSchema" xmlns:xs="http://www.w3.org/2001/XMLSchema" xmlns:p="http://schemas.microsoft.com/office/2006/metadata/properties" xmlns:ns2="9fde8d06-b086-49a9-9466-1a62f3402bb2" xmlns:ns3="c6cc0a89-2310-487b-b118-185cdfbc6914" targetNamespace="http://schemas.microsoft.com/office/2006/metadata/properties" ma:root="true" ma:fieldsID="b56de3dd25eb339fe47559bb528508be" ns2:_="" ns3:_="">
    <xsd:import namespace="9fde8d06-b086-49a9-9466-1a62f3402bb2"/>
    <xsd:import namespace="c6cc0a89-2310-487b-b118-185cdfbc691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Dates" minOccurs="0"/>
                <xsd:element ref="ns3:SharedWithUsers" minOccurs="0"/>
                <xsd:element ref="ns3:SharedWithDetails" minOccurs="0"/>
                <xsd:element ref="ns2:MediaLengthInSeconds"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de8d06-b086-49a9-9466-1a62f3402b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58b5b1d5-c84c-40c5-92ea-205f3242d43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Dates" ma:index="16" nillable="true" ma:displayName="Dates" ma:format="DateOnly" ma:internalName="Dates">
      <xsd:simpleType>
        <xsd:restriction base="dms:DateTime"/>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cc0a89-2310-487b-b118-185cdfbc691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85492d0-37e8-47fb-b5be-7810d401e7a3}" ma:internalName="TaxCatchAll" ma:showField="CatchAllData" ma:web="c6cc0a89-2310-487b-b118-185cdfbc691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6D883B-BB7F-4D03-BC89-9A40A28D4778}">
  <ds:schemaRefs>
    <ds:schemaRef ds:uri="http://www.w3.org/XML/1998/namespace"/>
    <ds:schemaRef ds:uri="c6cc0a89-2310-487b-b118-185cdfbc6914"/>
    <ds:schemaRef ds:uri="http://purl.org/dc/elements/1.1/"/>
    <ds:schemaRef ds:uri="http://purl.org/dc/dcmitype/"/>
    <ds:schemaRef ds:uri="http://purl.org/dc/terms/"/>
    <ds:schemaRef ds:uri="9fde8d06-b086-49a9-9466-1a62f3402bb2"/>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9C05E297-985F-47D3-AE49-042B86494BB7}">
  <ds:schemaRefs>
    <ds:schemaRef ds:uri="http://schemas.microsoft.com/sharepoint/v3/contenttype/forms"/>
  </ds:schemaRefs>
</ds:datastoreItem>
</file>

<file path=customXml/itemProps3.xml><?xml version="1.0" encoding="utf-8"?>
<ds:datastoreItem xmlns:ds="http://schemas.openxmlformats.org/officeDocument/2006/customXml" ds:itemID="{A073F1D0-203C-498A-8E5F-D6B6F13702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de8d06-b086-49a9-9466-1a62f3402bb2"/>
    <ds:schemaRef ds:uri="c6cc0a89-2310-487b-b118-185cdfbc69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23</vt:i4>
      </vt:variant>
    </vt:vector>
  </HeadingPairs>
  <TitlesOfParts>
    <vt:vector size="41" baseType="lpstr">
      <vt:lpstr>Présentation</vt:lpstr>
      <vt:lpstr>C 1</vt:lpstr>
      <vt:lpstr>C 2</vt:lpstr>
      <vt:lpstr>C 3</vt:lpstr>
      <vt:lpstr>C 4</vt:lpstr>
      <vt:lpstr>C 5</vt:lpstr>
      <vt:lpstr>C 6</vt:lpstr>
      <vt:lpstr>C 7</vt:lpstr>
      <vt:lpstr>C 8</vt:lpstr>
      <vt:lpstr>C 9</vt:lpstr>
      <vt:lpstr>C 10</vt:lpstr>
      <vt:lpstr>C 11</vt:lpstr>
      <vt:lpstr>C 12</vt:lpstr>
      <vt:lpstr>C 13</vt:lpstr>
      <vt:lpstr>Bilan formatif</vt:lpstr>
      <vt:lpstr>Bilan sommatif</vt:lpstr>
      <vt:lpstr>Bilan formatif-sommatif</vt:lpstr>
      <vt:lpstr>Feuil_M</vt:lpstr>
      <vt:lpstr>'Bilan formatif'!nrFormatif_Encadrement</vt:lpstr>
      <vt:lpstr>'Bilan sommatif'!nrFormatif_Encadrement</vt:lpstr>
      <vt:lpstr>nrFormatif_Encadrement</vt:lpstr>
      <vt:lpstr>nrFormatif_Encadrement2</vt:lpstr>
      <vt:lpstr>'Bilan formatif'!nrFormatif_Stagiaire</vt:lpstr>
      <vt:lpstr>'Bilan sommatif'!nrFormatif_Stagiaire</vt:lpstr>
      <vt:lpstr>nrFormatif_Stagiaire</vt:lpstr>
      <vt:lpstr>nrFormatif_Stagiaire2</vt:lpstr>
      <vt:lpstr>'Bilan formatif'!nrSommatif_Encadrement</vt:lpstr>
      <vt:lpstr>'Bilan sommatif'!nrSommatif_Encadrement</vt:lpstr>
      <vt:lpstr>nrSommatif_Encadrement</vt:lpstr>
      <vt:lpstr>nrSommatif_Encadrement2</vt:lpstr>
      <vt:lpstr>'Bilan formatif'!nrSommatif_Stagiaire</vt:lpstr>
      <vt:lpstr>'Bilan sommatif'!nrSommatif_Stagiaire</vt:lpstr>
      <vt:lpstr>nrSommatif_Stagiaire</vt:lpstr>
      <vt:lpstr>nrSommatif_Stagiaire2</vt:lpstr>
      <vt:lpstr>RégionTitreColonne4..B19.1</vt:lpstr>
      <vt:lpstr>'Bilan formatif'!Zone_d_impression</vt:lpstr>
      <vt:lpstr>'Bilan sommatif'!Zone_d_impression</vt:lpstr>
      <vt:lpstr>Présentation!Zone_d_impression</vt:lpstr>
      <vt:lpstr>ZoneTitreColonne1..B11.1</vt:lpstr>
      <vt:lpstr>ZoneTitreLigne1..C9</vt:lpstr>
      <vt:lpstr>ZoneTitreLigne2..F9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Demers, Geneviève</dc:creator>
  <cp:keywords/>
  <dc:description/>
  <cp:lastModifiedBy>Renauld, David</cp:lastModifiedBy>
  <cp:revision/>
  <dcterms:created xsi:type="dcterms:W3CDTF">2017-07-31T23:56:33Z</dcterms:created>
  <dcterms:modified xsi:type="dcterms:W3CDTF">2023-08-16T21:21:20Z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0x0101002602F6B9C4723D4581C95D56151F8824</vt:lpwstr>
  </property>
  <property fmtid="{D5CDD505-2E9C-101B-9397-08002B2CF9AE}" pid="3" name="MediaServiceImageTags">
    <vt:lpwstr/>
  </property>
</Properties>
</file>